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mc:AlternateContent xmlns:mc="http://schemas.openxmlformats.org/markup-compatibility/2006">
    <mc:Choice Requires="x15">
      <x15ac:absPath xmlns:x15ac="http://schemas.microsoft.com/office/spreadsheetml/2010/11/ac" url="L:\AP\Research Reports\AP-R653-21\"/>
    </mc:Choice>
  </mc:AlternateContent>
  <xr:revisionPtr revIDLastSave="0" documentId="13_ncr:1_{80148184-37D9-4490-B346-18FA4F4F0EC0}" xr6:coauthVersionLast="47" xr6:coauthVersionMax="47" xr10:uidLastSave="{00000000-0000-0000-0000-000000000000}"/>
  <bookViews>
    <workbookView xWindow="-28920" yWindow="-120" windowWidth="29040" windowHeight="15840" xr2:uid="{00000000-000D-0000-FFFF-FFFF00000000}"/>
  </bookViews>
  <sheets>
    <sheet name="Info" sheetId="1" r:id="rId1"/>
    <sheet name="User interface" sheetId="10" r:id="rId2"/>
    <sheet name="Calculations  =&gt;" sheetId="20" r:id="rId3"/>
    <sheet name="Calculations" sheetId="6" r:id="rId4"/>
    <sheet name="Technical assumptions =&gt;" sheetId="5" r:id="rId5"/>
    <sheet name="High level assumptions" sheetId="2" r:id="rId6"/>
    <sheet name="Vehicle mix and value of time" sheetId="23" r:id="rId7"/>
    <sheet name="Lists" sheetId="8" r:id="rId8"/>
    <sheet name="VOC calculations =&gt;" sheetId="16" r:id="rId9"/>
    <sheet name="VOC Summary" sheetId="19" r:id="rId10"/>
    <sheet name="Urban VOC" sheetId="18" r:id="rId11"/>
    <sheet name="Rural VOC" sheetId="17" r:id="rId12"/>
    <sheet name="Rural VOC coefficients" sheetId="14" r:id="rId13"/>
    <sheet name="Safety Calculations =&gt;" sheetId="22" r:id="rId14"/>
    <sheet name="Safety" sheetId="21" r:id="rId15"/>
  </sheets>
  <externalReferences>
    <externalReference r:id="rId16"/>
    <externalReference r:id="rId17"/>
  </externalReferences>
  <definedNames>
    <definedName name="AADT">'User interface'!$C$11</definedName>
    <definedName name="base_year">'[1]Assumptions and definitions'!$C$8</definedName>
    <definedName name="CPI_2013">'High level assumptions'!$C$15</definedName>
    <definedName name="CPI_2019">'High level assumptions'!$C$16</definedName>
    <definedName name="CPI_2020">'High level assumptions'!$C$18</definedName>
    <definedName name="CPI_Dec2019">'High level assumptions'!$C$17</definedName>
    <definedName name="Detour_Length">'User interface'!$D$41</definedName>
    <definedName name="Detour_Speed">'User interface'!$D$40</definedName>
    <definedName name="Discount_Rate">'High level assumptions'!$C$9</definedName>
    <definedName name="IRI_arterial">'[1]T2 Vehicle and network'!$D$9</definedName>
    <definedName name="IRI_arterial_t5">'[1]T5 Vehicle and network'!$D$9</definedName>
    <definedName name="IRI_local">'[1]T2 Vehicle and network'!$D$10</definedName>
    <definedName name="IRI_local_t5">'[1]T5 Vehicle and network'!$D$10</definedName>
    <definedName name="Likelihood">'User interface'!$C$29</definedName>
    <definedName name="Model_years">'[2]M.1 Masterlists'!$D$23:$E$44</definedName>
    <definedName name="nhvr_states">'[1]Assumptions and definitions'!$O$9:$O$14</definedName>
    <definedName name="non_nhvr_states">'[1]Assumptions and definitions'!$P$9:$P$10</definedName>
    <definedName name="Originalroute_length">'User interface'!$C$41</definedName>
    <definedName name="Originalroute_Speed">'User interface'!$C$40</definedName>
    <definedName name="Region">'User interface'!$C$10</definedName>
    <definedName name="SAPBEXdnldView" hidden="1">"72LBBQ4E3BNXKPNWEQF2AMHPC"</definedName>
    <definedName name="SAPBEXsysID" hidden="1">"DWH"</definedName>
    <definedName name="Traffic_Growth">'High level assumptions'!$C$10</definedName>
    <definedName name="v_arterial">'[1]T2 Vehicle and network'!$C$9</definedName>
    <definedName name="v_arterial_t5">'[1]T5 Vehicle and network'!$C$9</definedName>
    <definedName name="v_local">'[1]T2 Vehicle and network'!$C$10</definedName>
    <definedName name="v_local_t5">'[1]T5 Vehicle and network'!$C$10</definedName>
    <definedName name="vkt_nhvr_states">'[1]Fleet mix'!$B$9:$AN$12</definedName>
  </definedNames>
  <calcPr calcId="191029" iterate="1" iterateCount="1000"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6" i="6" l="1"/>
  <c r="E35" i="6"/>
  <c r="E34" i="6"/>
  <c r="E33" i="6"/>
  <c r="E32" i="6"/>
  <c r="E31" i="6"/>
  <c r="D43" i="21"/>
  <c r="C43" i="21"/>
  <c r="E43" i="21"/>
  <c r="F43" i="21"/>
  <c r="G43" i="21"/>
  <c r="I54" i="10"/>
  <c r="E9" i="23" l="1"/>
  <c r="E10" i="23"/>
  <c r="E11" i="23"/>
  <c r="E12" i="23"/>
  <c r="E13" i="23"/>
  <c r="E14" i="23"/>
  <c r="C27" i="23"/>
  <c r="D27" i="23"/>
  <c r="C28" i="23"/>
  <c r="D28" i="23"/>
  <c r="C29" i="23"/>
  <c r="D29" i="23"/>
  <c r="C30" i="23"/>
  <c r="D30" i="23"/>
  <c r="C31" i="23"/>
  <c r="D31" i="23"/>
  <c r="C32" i="23"/>
  <c r="D32" i="23"/>
  <c r="C50" i="23"/>
  <c r="D50" i="23"/>
  <c r="C51" i="23"/>
  <c r="D51" i="23"/>
  <c r="C52" i="23"/>
  <c r="D52" i="23"/>
  <c r="C53" i="23"/>
  <c r="D53" i="23"/>
  <c r="C54" i="23"/>
  <c r="D54" i="23"/>
  <c r="C55" i="23"/>
  <c r="D55" i="23"/>
  <c r="A1" i="23"/>
  <c r="G90" i="21"/>
  <c r="F90" i="21"/>
  <c r="E90" i="21"/>
  <c r="D90" i="21"/>
  <c r="C90" i="21"/>
  <c r="H72" i="10"/>
  <c r="G72" i="10"/>
  <c r="D108" i="6"/>
  <c r="D72" i="10" s="1"/>
  <c r="C108" i="6"/>
  <c r="C72" i="10" s="1"/>
  <c r="H53" i="10"/>
  <c r="H52" i="10"/>
  <c r="H51" i="10"/>
  <c r="H50" i="10"/>
  <c r="H49" i="10"/>
  <c r="H48" i="10"/>
  <c r="E49" i="10"/>
  <c r="E50" i="10"/>
  <c r="E51" i="10"/>
  <c r="E52" i="10"/>
  <c r="E53" i="10"/>
  <c r="E48" i="10"/>
  <c r="C106" i="6"/>
  <c r="C70" i="10" s="1"/>
  <c r="D106" i="6"/>
  <c r="D70" i="10" s="1"/>
  <c r="C107" i="6"/>
  <c r="C71" i="10" s="1"/>
  <c r="D107" i="6"/>
  <c r="D71" i="10" s="1"/>
  <c r="E37" i="6" l="1"/>
  <c r="G67" i="10"/>
  <c r="H67" i="10"/>
  <c r="H66" i="10"/>
  <c r="G66" i="10"/>
  <c r="E108" i="6"/>
  <c r="C83" i="10" s="1"/>
  <c r="E107" i="6"/>
  <c r="C82" i="10" s="1"/>
  <c r="E106" i="6"/>
  <c r="C81" i="10" s="1"/>
  <c r="C140" i="6" l="1"/>
  <c r="C139" i="6"/>
  <c r="C138" i="6"/>
  <c r="C137" i="6"/>
  <c r="C136" i="6"/>
  <c r="C135" i="6"/>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E23" i="10"/>
  <c r="D23" i="10"/>
  <c r="C23"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E17" i="10"/>
  <c r="D17" i="10"/>
  <c r="C17" i="10"/>
  <c r="AB58" i="6"/>
  <c r="AB69" i="6" s="1"/>
  <c r="AD57" i="6"/>
  <c r="AD68" i="6" s="1"/>
  <c r="C12" i="6"/>
  <c r="C23" i="6" s="1"/>
  <c r="C11" i="6"/>
  <c r="C22" i="6" s="1"/>
  <c r="C10" i="6"/>
  <c r="C21" i="6" s="1"/>
  <c r="C9" i="6"/>
  <c r="C20" i="6" s="1"/>
  <c r="J8" i="18"/>
  <c r="I8" i="18"/>
  <c r="E22" i="17"/>
  <c r="E9" i="17"/>
  <c r="E78" i="6"/>
  <c r="H78" i="6"/>
  <c r="H75" i="6"/>
  <c r="E63" i="21"/>
  <c r="E64" i="21" s="1"/>
  <c r="C63" i="21"/>
  <c r="C64" i="21" s="1"/>
  <c r="I110" i="21"/>
  <c r="H110" i="21"/>
  <c r="G110" i="21"/>
  <c r="F110" i="21"/>
  <c r="E110" i="21"/>
  <c r="D110" i="21"/>
  <c r="C110" i="21"/>
  <c r="H41" i="21"/>
  <c r="H40" i="21"/>
  <c r="H39" i="21"/>
  <c r="H38" i="21"/>
  <c r="H37" i="21"/>
  <c r="H36" i="21"/>
  <c r="H35" i="21"/>
  <c r="H34" i="21"/>
  <c r="H33" i="21"/>
  <c r="H32" i="21"/>
  <c r="D62" i="21"/>
  <c r="D61" i="21"/>
  <c r="D60" i="21"/>
  <c r="D59" i="21"/>
  <c r="D58" i="21"/>
  <c r="D57" i="21"/>
  <c r="D56" i="21"/>
  <c r="D55" i="21"/>
  <c r="D54" i="21"/>
  <c r="D53" i="21"/>
  <c r="G42" i="21"/>
  <c r="F42" i="21"/>
  <c r="E42" i="21"/>
  <c r="D42" i="21"/>
  <c r="C42" i="21"/>
  <c r="H22" i="21"/>
  <c r="G22" i="21"/>
  <c r="F22" i="21"/>
  <c r="E22" i="21"/>
  <c r="D22" i="21"/>
  <c r="C22" i="21"/>
  <c r="A1" i="22"/>
  <c r="A1" i="21"/>
  <c r="H43" i="21" l="1"/>
  <c r="C118" i="21"/>
  <c r="C128" i="21" s="1"/>
  <c r="C53" i="6"/>
  <c r="C64" i="6" s="1"/>
  <c r="J27" i="18"/>
  <c r="J25" i="18"/>
  <c r="J23" i="18"/>
  <c r="L23" i="18" s="1"/>
  <c r="I9" i="19" s="1"/>
  <c r="J28" i="18"/>
  <c r="J26" i="18"/>
  <c r="J24" i="18"/>
  <c r="I28" i="18"/>
  <c r="I24" i="18"/>
  <c r="I27" i="18"/>
  <c r="I25" i="18"/>
  <c r="I23" i="18"/>
  <c r="I26" i="18"/>
  <c r="H76" i="6"/>
  <c r="H33" i="6"/>
  <c r="E76" i="6"/>
  <c r="C119" i="21"/>
  <c r="E77" i="6"/>
  <c r="H35" i="6"/>
  <c r="E79" i="6"/>
  <c r="H36" i="6"/>
  <c r="E80" i="6"/>
  <c r="E75" i="6"/>
  <c r="D109" i="6"/>
  <c r="C109" i="6"/>
  <c r="W57" i="6"/>
  <c r="W68" i="6" s="1"/>
  <c r="AC57" i="6"/>
  <c r="AC68" i="6" s="1"/>
  <c r="G57" i="6"/>
  <c r="G68" i="6" s="1"/>
  <c r="U57" i="6"/>
  <c r="U68" i="6" s="1"/>
  <c r="Q57" i="6"/>
  <c r="Q68" i="6" s="1"/>
  <c r="Y57" i="6"/>
  <c r="Y68" i="6" s="1"/>
  <c r="I57" i="6"/>
  <c r="I68" i="6" s="1"/>
  <c r="H31" i="6"/>
  <c r="M57" i="6"/>
  <c r="M68" i="6" s="1"/>
  <c r="AE57" i="6"/>
  <c r="AE68" i="6" s="1"/>
  <c r="H32" i="6"/>
  <c r="O57" i="6"/>
  <c r="O68" i="6" s="1"/>
  <c r="M58" i="6"/>
  <c r="M69" i="6" s="1"/>
  <c r="U58" i="6"/>
  <c r="U69" i="6" s="1"/>
  <c r="AC58" i="6"/>
  <c r="AC69" i="6" s="1"/>
  <c r="H57" i="6"/>
  <c r="H68" i="6" s="1"/>
  <c r="P57" i="6"/>
  <c r="P68" i="6" s="1"/>
  <c r="X57" i="6"/>
  <c r="X68" i="6" s="1"/>
  <c r="AF57" i="6"/>
  <c r="AF68" i="6" s="1"/>
  <c r="N58" i="6"/>
  <c r="N69" i="6" s="1"/>
  <c r="V58" i="6"/>
  <c r="V69" i="6" s="1"/>
  <c r="AD58" i="6"/>
  <c r="AD69" i="6" s="1"/>
  <c r="O58" i="6"/>
  <c r="O69" i="6" s="1"/>
  <c r="W58" i="6"/>
  <c r="W69" i="6" s="1"/>
  <c r="AE58" i="6"/>
  <c r="AE69" i="6" s="1"/>
  <c r="H77" i="6"/>
  <c r="G58" i="6"/>
  <c r="G69" i="6" s="1"/>
  <c r="J57" i="6"/>
  <c r="J68" i="6" s="1"/>
  <c r="R57" i="6"/>
  <c r="R68" i="6" s="1"/>
  <c r="Z57" i="6"/>
  <c r="Z68" i="6" s="1"/>
  <c r="H58" i="6"/>
  <c r="H69" i="6" s="1"/>
  <c r="P58" i="6"/>
  <c r="P69" i="6" s="1"/>
  <c r="X58" i="6"/>
  <c r="X69" i="6" s="1"/>
  <c r="AF58" i="6"/>
  <c r="AF69" i="6" s="1"/>
  <c r="K57" i="6"/>
  <c r="K68" i="6" s="1"/>
  <c r="S57" i="6"/>
  <c r="S68" i="6" s="1"/>
  <c r="AA57" i="6"/>
  <c r="AA68" i="6" s="1"/>
  <c r="I58" i="6"/>
  <c r="I69" i="6" s="1"/>
  <c r="Q58" i="6"/>
  <c r="Q69" i="6" s="1"/>
  <c r="Y58" i="6"/>
  <c r="Y69" i="6" s="1"/>
  <c r="L57" i="6"/>
  <c r="L68" i="6" s="1"/>
  <c r="T57" i="6"/>
  <c r="T68" i="6" s="1"/>
  <c r="AB57" i="6"/>
  <c r="AB68" i="6" s="1"/>
  <c r="J58" i="6"/>
  <c r="J69" i="6" s="1"/>
  <c r="R58" i="6"/>
  <c r="R69" i="6" s="1"/>
  <c r="Z58" i="6"/>
  <c r="Z69" i="6" s="1"/>
  <c r="K58" i="6"/>
  <c r="K69" i="6" s="1"/>
  <c r="S58" i="6"/>
  <c r="S69" i="6" s="1"/>
  <c r="AA58" i="6"/>
  <c r="AA69" i="6" s="1"/>
  <c r="N57" i="6"/>
  <c r="N68" i="6" s="1"/>
  <c r="V57" i="6"/>
  <c r="V68" i="6" s="1"/>
  <c r="L58" i="6"/>
  <c r="L69" i="6" s="1"/>
  <c r="T58" i="6"/>
  <c r="T69" i="6" s="1"/>
  <c r="C55" i="6"/>
  <c r="C66" i="6" s="1"/>
  <c r="C54" i="6"/>
  <c r="C65" i="6" s="1"/>
  <c r="C56" i="6"/>
  <c r="C67" i="6" s="1"/>
  <c r="H79" i="6"/>
  <c r="H34" i="6"/>
  <c r="H80" i="6"/>
  <c r="C116" i="21"/>
  <c r="C13" i="6"/>
  <c r="C14" i="6"/>
  <c r="D63" i="21"/>
  <c r="D64" i="21" s="1"/>
  <c r="H42" i="21"/>
  <c r="C115" i="21" s="1"/>
  <c r="D11" i="6"/>
  <c r="D10" i="6"/>
  <c r="D9" i="6"/>
  <c r="A1" i="20"/>
  <c r="G10" i="8"/>
  <c r="G11" i="8" s="1"/>
  <c r="G12" i="8" s="1"/>
  <c r="G13" i="8" s="1"/>
  <c r="G14" i="8" s="1"/>
  <c r="G15" i="8" s="1"/>
  <c r="G16" i="8" s="1"/>
  <c r="G17" i="8" s="1"/>
  <c r="G18" i="8" s="1"/>
  <c r="G19" i="8" s="1"/>
  <c r="G20" i="8" s="1"/>
  <c r="G21" i="8" s="1"/>
  <c r="G22" i="8" s="1"/>
  <c r="G23" i="8" s="1"/>
  <c r="J18" i="18"/>
  <c r="L18" i="18" s="1"/>
  <c r="H14" i="19" s="1"/>
  <c r="J17" i="18"/>
  <c r="L17" i="18" s="1"/>
  <c r="H13" i="19" s="1"/>
  <c r="J16" i="18"/>
  <c r="L16" i="18" s="1"/>
  <c r="H12" i="19" s="1"/>
  <c r="J15" i="18"/>
  <c r="L15" i="18" s="1"/>
  <c r="H11" i="19" s="1"/>
  <c r="J14" i="18"/>
  <c r="L14" i="18" s="1"/>
  <c r="H10" i="19" s="1"/>
  <c r="J13" i="18"/>
  <c r="L13" i="18" s="1"/>
  <c r="H9" i="19" s="1"/>
  <c r="D115" i="21" l="1"/>
  <c r="E115" i="21" s="1"/>
  <c r="C125" i="21"/>
  <c r="C127" i="6"/>
  <c r="D118" i="21"/>
  <c r="E118" i="21" s="1"/>
  <c r="E128" i="21" s="1"/>
  <c r="C124" i="6"/>
  <c r="D116" i="21"/>
  <c r="E116" i="21" s="1"/>
  <c r="E126" i="21" s="1"/>
  <c r="C125" i="6"/>
  <c r="E81" i="6"/>
  <c r="D119" i="21"/>
  <c r="E119" i="21" s="1"/>
  <c r="E129" i="21" s="1"/>
  <c r="C128" i="6"/>
  <c r="C129" i="21"/>
  <c r="C120" i="21"/>
  <c r="E109" i="6"/>
  <c r="H37" i="6"/>
  <c r="D54" i="6"/>
  <c r="D22" i="6"/>
  <c r="D55" i="6"/>
  <c r="H81" i="6"/>
  <c r="D20" i="6"/>
  <c r="D53" i="6"/>
  <c r="C25" i="6"/>
  <c r="C58" i="6"/>
  <c r="C24" i="6"/>
  <c r="C57" i="6"/>
  <c r="C117" i="21"/>
  <c r="D117" i="21" s="1"/>
  <c r="E117" i="21" s="1"/>
  <c r="C126" i="21"/>
  <c r="E10" i="6"/>
  <c r="D21" i="6"/>
  <c r="D14" i="6"/>
  <c r="D13" i="6"/>
  <c r="E11" i="6"/>
  <c r="D12" i="6"/>
  <c r="C15" i="6"/>
  <c r="C26" i="6" s="1"/>
  <c r="E9" i="6"/>
  <c r="I14" i="18"/>
  <c r="K14" i="18" s="1"/>
  <c r="C10" i="19" s="1"/>
  <c r="K28" i="18"/>
  <c r="D14" i="19" s="1"/>
  <c r="I16" i="18"/>
  <c r="K16" i="18" s="1"/>
  <c r="C12" i="19" s="1"/>
  <c r="L24" i="18"/>
  <c r="I10" i="19" s="1"/>
  <c r="I17" i="18"/>
  <c r="K17" i="18" s="1"/>
  <c r="C13" i="19" s="1"/>
  <c r="K23" i="18"/>
  <c r="D9" i="19" s="1"/>
  <c r="L25" i="18"/>
  <c r="I11" i="19" s="1"/>
  <c r="I18" i="18"/>
  <c r="K18" i="18" s="1"/>
  <c r="C14" i="19" s="1"/>
  <c r="K24" i="18"/>
  <c r="D10" i="19" s="1"/>
  <c r="L26" i="18"/>
  <c r="I12" i="19" s="1"/>
  <c r="K25" i="18"/>
  <c r="D11" i="19" s="1"/>
  <c r="L27" i="18"/>
  <c r="I13" i="19" s="1"/>
  <c r="K26" i="18"/>
  <c r="D12" i="19" s="1"/>
  <c r="L28" i="18"/>
  <c r="I14" i="19" s="1"/>
  <c r="I13" i="18"/>
  <c r="K13" i="18" s="1"/>
  <c r="C9" i="19" s="1"/>
  <c r="K27" i="18"/>
  <c r="D13" i="19" s="1"/>
  <c r="I15" i="18"/>
  <c r="K15" i="18" s="1"/>
  <c r="C11" i="19" s="1"/>
  <c r="D128" i="21" l="1"/>
  <c r="D125" i="21"/>
  <c r="F128" i="21"/>
  <c r="G128" i="21" s="1"/>
  <c r="D78" i="6" s="1"/>
  <c r="D126" i="21"/>
  <c r="F126" i="21" s="1"/>
  <c r="G126" i="21" s="1"/>
  <c r="E125" i="21"/>
  <c r="C69" i="6"/>
  <c r="C68" i="6"/>
  <c r="D129" i="21"/>
  <c r="F129" i="21" s="1"/>
  <c r="G129" i="21" s="1"/>
  <c r="D79" i="6" s="1"/>
  <c r="E127" i="21"/>
  <c r="C126" i="6"/>
  <c r="D120" i="21"/>
  <c r="E120" i="21" s="1"/>
  <c r="E130" i="21" s="1"/>
  <c r="C129" i="6"/>
  <c r="C130" i="21"/>
  <c r="C115" i="6"/>
  <c r="C84" i="10"/>
  <c r="C42" i="6"/>
  <c r="D64" i="6"/>
  <c r="D66" i="6"/>
  <c r="D65" i="6"/>
  <c r="E20" i="6"/>
  <c r="E53" i="6"/>
  <c r="D24" i="6"/>
  <c r="D57" i="6"/>
  <c r="C59" i="6"/>
  <c r="D23" i="6"/>
  <c r="D56" i="6"/>
  <c r="E22" i="6"/>
  <c r="E55" i="6"/>
  <c r="D25" i="6"/>
  <c r="D58" i="6"/>
  <c r="E21" i="6"/>
  <c r="E54" i="6"/>
  <c r="C127" i="21"/>
  <c r="C45" i="6"/>
  <c r="F10" i="6"/>
  <c r="E12" i="6"/>
  <c r="E13" i="6"/>
  <c r="E14" i="6"/>
  <c r="F11" i="6"/>
  <c r="D15" i="6"/>
  <c r="F9" i="6"/>
  <c r="F125" i="21" l="1"/>
  <c r="G125" i="21" s="1"/>
  <c r="D75" i="6" s="1"/>
  <c r="D34" i="6"/>
  <c r="E64" i="6"/>
  <c r="C70" i="6"/>
  <c r="C86" i="6" s="1"/>
  <c r="E66" i="6"/>
  <c r="E65" i="6"/>
  <c r="C89" i="6"/>
  <c r="D130" i="21"/>
  <c r="F130" i="21" s="1"/>
  <c r="G130" i="21" s="1"/>
  <c r="D80" i="6" s="1"/>
  <c r="D127" i="21"/>
  <c r="F127" i="21" s="1"/>
  <c r="G127" i="21" s="1"/>
  <c r="D77" i="6" s="1"/>
  <c r="D35" i="6"/>
  <c r="D69" i="6"/>
  <c r="D67" i="6"/>
  <c r="D68" i="6"/>
  <c r="F22" i="6"/>
  <c r="F55" i="6"/>
  <c r="E24" i="6"/>
  <c r="E57" i="6"/>
  <c r="D59" i="6"/>
  <c r="E25" i="6"/>
  <c r="E58" i="6"/>
  <c r="E23" i="6"/>
  <c r="E56" i="6"/>
  <c r="F20" i="6"/>
  <c r="F53" i="6"/>
  <c r="F21" i="6"/>
  <c r="F54" i="6"/>
  <c r="D32" i="6"/>
  <c r="D76" i="6"/>
  <c r="G10" i="6"/>
  <c r="D26" i="6"/>
  <c r="D42" i="6" s="1"/>
  <c r="D45" i="6"/>
  <c r="F13" i="6"/>
  <c r="F12" i="6"/>
  <c r="E15" i="6"/>
  <c r="G11" i="6"/>
  <c r="F14" i="6"/>
  <c r="G9" i="6"/>
  <c r="D31" i="6" l="1"/>
  <c r="F64" i="6"/>
  <c r="F66" i="6"/>
  <c r="D89" i="6"/>
  <c r="E67" i="6"/>
  <c r="E69" i="6"/>
  <c r="E68" i="6"/>
  <c r="D36" i="6"/>
  <c r="D33" i="6"/>
  <c r="D70" i="6"/>
  <c r="D86" i="6" s="1"/>
  <c r="F65" i="6"/>
  <c r="D81" i="6"/>
  <c r="C88" i="6" s="1"/>
  <c r="F25" i="6"/>
  <c r="F58" i="6"/>
  <c r="F23" i="6"/>
  <c r="F56" i="6"/>
  <c r="G22" i="6"/>
  <c r="G55" i="6"/>
  <c r="G66" i="6" s="1"/>
  <c r="G21" i="6"/>
  <c r="G54" i="6"/>
  <c r="G65" i="6" s="1"/>
  <c r="F24" i="6"/>
  <c r="F57" i="6"/>
  <c r="G20" i="6"/>
  <c r="G53" i="6"/>
  <c r="E59" i="6"/>
  <c r="H10" i="6"/>
  <c r="H54" i="6" s="1"/>
  <c r="H65" i="6" s="1"/>
  <c r="E26" i="6"/>
  <c r="E42" i="6" s="1"/>
  <c r="E45" i="6"/>
  <c r="H11" i="6"/>
  <c r="G12" i="6"/>
  <c r="G14" i="6"/>
  <c r="F15" i="6"/>
  <c r="G13" i="6"/>
  <c r="H9" i="6"/>
  <c r="G64" i="6" l="1"/>
  <c r="D88" i="6"/>
  <c r="E70" i="6"/>
  <c r="E86" i="6" s="1"/>
  <c r="E89" i="6"/>
  <c r="E88" i="6"/>
  <c r="F67" i="6"/>
  <c r="F68" i="6"/>
  <c r="D139" i="6" s="1"/>
  <c r="F69" i="6"/>
  <c r="D140" i="6" s="1"/>
  <c r="D37" i="6"/>
  <c r="C44" i="6" s="1"/>
  <c r="G25" i="6"/>
  <c r="G24" i="6"/>
  <c r="D129" i="6"/>
  <c r="D128" i="6"/>
  <c r="I10" i="6"/>
  <c r="I54" i="6" s="1"/>
  <c r="I65" i="6" s="1"/>
  <c r="F59" i="6"/>
  <c r="H21" i="6"/>
  <c r="H22" i="6"/>
  <c r="H55" i="6"/>
  <c r="H66" i="6" s="1"/>
  <c r="H20" i="6"/>
  <c r="H53" i="6"/>
  <c r="G23" i="6"/>
  <c r="G56" i="6"/>
  <c r="G67" i="6" s="1"/>
  <c r="F26" i="6"/>
  <c r="F42" i="6" s="1"/>
  <c r="F45" i="6"/>
  <c r="G15" i="6"/>
  <c r="I11" i="6"/>
  <c r="H14" i="6"/>
  <c r="H25" i="6" s="1"/>
  <c r="H12" i="6"/>
  <c r="H13" i="6"/>
  <c r="H24" i="6" s="1"/>
  <c r="I9" i="6"/>
  <c r="H64" i="6" l="1"/>
  <c r="G70" i="6"/>
  <c r="F70" i="6"/>
  <c r="F86" i="6" s="1"/>
  <c r="F89" i="6"/>
  <c r="F88" i="6"/>
  <c r="D44" i="6"/>
  <c r="F44" i="6"/>
  <c r="E44" i="6"/>
  <c r="I21" i="6"/>
  <c r="J10" i="6"/>
  <c r="J21" i="6" s="1"/>
  <c r="G59" i="6"/>
  <c r="I22" i="6"/>
  <c r="I55" i="6"/>
  <c r="I66" i="6" s="1"/>
  <c r="J54" i="6"/>
  <c r="J65" i="6" s="1"/>
  <c r="I20" i="6"/>
  <c r="I53" i="6"/>
  <c r="H23" i="6"/>
  <c r="H56" i="6"/>
  <c r="H67" i="6" s="1"/>
  <c r="G26" i="6"/>
  <c r="G42" i="6" s="1"/>
  <c r="G44" i="6"/>
  <c r="G45" i="6"/>
  <c r="H15" i="6"/>
  <c r="I14" i="6"/>
  <c r="I25" i="6" s="1"/>
  <c r="I13" i="6"/>
  <c r="I24" i="6" s="1"/>
  <c r="J11" i="6"/>
  <c r="I12" i="6"/>
  <c r="J9" i="6"/>
  <c r="H70" i="6" l="1"/>
  <c r="I64" i="6"/>
  <c r="G86" i="6"/>
  <c r="G88" i="6"/>
  <c r="G89" i="6"/>
  <c r="K10" i="6"/>
  <c r="K54" i="6" s="1"/>
  <c r="K65" i="6" s="1"/>
  <c r="I23" i="6"/>
  <c r="I56" i="6"/>
  <c r="I67" i="6" s="1"/>
  <c r="J22" i="6"/>
  <c r="J55" i="6"/>
  <c r="J66" i="6" s="1"/>
  <c r="H59" i="6"/>
  <c r="J20" i="6"/>
  <c r="J53" i="6"/>
  <c r="H26" i="6"/>
  <c r="H42" i="6" s="1"/>
  <c r="H45" i="6"/>
  <c r="H44" i="6"/>
  <c r="K11" i="6"/>
  <c r="J13" i="6"/>
  <c r="J24" i="6" s="1"/>
  <c r="J12" i="6"/>
  <c r="J14" i="6"/>
  <c r="J25" i="6" s="1"/>
  <c r="I15" i="6"/>
  <c r="K9" i="6"/>
  <c r="J64" i="6" l="1"/>
  <c r="I70" i="6"/>
  <c r="H86" i="6"/>
  <c r="H88" i="6"/>
  <c r="H89" i="6"/>
  <c r="K21" i="6"/>
  <c r="L10" i="6"/>
  <c r="L21" i="6" s="1"/>
  <c r="K20" i="6"/>
  <c r="K53" i="6"/>
  <c r="J23" i="6"/>
  <c r="J56" i="6"/>
  <c r="J67" i="6" s="1"/>
  <c r="K22" i="6"/>
  <c r="K55" i="6"/>
  <c r="K66" i="6" s="1"/>
  <c r="I59" i="6"/>
  <c r="I26" i="6"/>
  <c r="I42" i="6" s="1"/>
  <c r="I45" i="6"/>
  <c r="I44" i="6"/>
  <c r="K12" i="6"/>
  <c r="K13" i="6"/>
  <c r="K24" i="6" s="1"/>
  <c r="J15" i="6"/>
  <c r="K14" i="6"/>
  <c r="K25" i="6" s="1"/>
  <c r="L11" i="6"/>
  <c r="L9" i="6"/>
  <c r="A1" i="19"/>
  <c r="D30" i="17"/>
  <c r="D29" i="17"/>
  <c r="D28" i="17"/>
  <c r="D27" i="17"/>
  <c r="D26" i="17"/>
  <c r="D25" i="17"/>
  <c r="C30" i="17"/>
  <c r="K30" i="17" s="1"/>
  <c r="B30" i="17"/>
  <c r="C29" i="17"/>
  <c r="J29" i="17" s="1"/>
  <c r="B29" i="17"/>
  <c r="C28" i="17"/>
  <c r="K28" i="17" s="1"/>
  <c r="B28" i="17"/>
  <c r="C27" i="17"/>
  <c r="J27" i="17" s="1"/>
  <c r="B27" i="17"/>
  <c r="C26" i="17"/>
  <c r="G26" i="17" s="1"/>
  <c r="B26" i="17"/>
  <c r="C25" i="17"/>
  <c r="F25" i="17" s="1"/>
  <c r="B25" i="17"/>
  <c r="A1" i="18"/>
  <c r="K64" i="6" l="1"/>
  <c r="I86" i="6"/>
  <c r="I88" i="6"/>
  <c r="I89" i="6"/>
  <c r="J25" i="17"/>
  <c r="G25" i="17"/>
  <c r="I27" i="17"/>
  <c r="E29" i="17"/>
  <c r="E25" i="17"/>
  <c r="H25" i="17"/>
  <c r="K26" i="17"/>
  <c r="F30" i="17"/>
  <c r="G30" i="17"/>
  <c r="I25" i="17"/>
  <c r="J28" i="17"/>
  <c r="H30" i="17"/>
  <c r="K25" i="17"/>
  <c r="F29" i="17"/>
  <c r="H26" i="17"/>
  <c r="G29" i="17"/>
  <c r="K29" i="17"/>
  <c r="I26" i="17"/>
  <c r="J26" i="17"/>
  <c r="E30" i="17"/>
  <c r="J70" i="6"/>
  <c r="L54" i="6"/>
  <c r="L65" i="6" s="1"/>
  <c r="M10" i="6"/>
  <c r="J59" i="6"/>
  <c r="L20" i="6"/>
  <c r="L53" i="6"/>
  <c r="L22" i="6"/>
  <c r="L55" i="6"/>
  <c r="L66" i="6" s="1"/>
  <c r="K23" i="6"/>
  <c r="K56" i="6"/>
  <c r="K67" i="6" s="1"/>
  <c r="E28" i="17"/>
  <c r="K27" i="17"/>
  <c r="F28" i="17"/>
  <c r="E26" i="17"/>
  <c r="F27" i="17"/>
  <c r="G28" i="17"/>
  <c r="H29" i="17"/>
  <c r="I30" i="17"/>
  <c r="F26" i="17"/>
  <c r="G27" i="17"/>
  <c r="H28" i="17"/>
  <c r="I29" i="17"/>
  <c r="J30" i="17"/>
  <c r="E27" i="17"/>
  <c r="H27" i="17"/>
  <c r="I28" i="17"/>
  <c r="J26" i="6"/>
  <c r="J42" i="6" s="1"/>
  <c r="J44" i="6"/>
  <c r="J45" i="6"/>
  <c r="L13" i="6"/>
  <c r="L24" i="6" s="1"/>
  <c r="L14" i="6"/>
  <c r="L25" i="6" s="1"/>
  <c r="M11" i="6"/>
  <c r="L12" i="6"/>
  <c r="K15" i="6"/>
  <c r="M9" i="6"/>
  <c r="K17" i="17"/>
  <c r="J17" i="17"/>
  <c r="I17" i="17"/>
  <c r="H17" i="17"/>
  <c r="G17" i="17"/>
  <c r="F17" i="17"/>
  <c r="E17" i="17"/>
  <c r="K16" i="17"/>
  <c r="J16" i="17"/>
  <c r="I16" i="17"/>
  <c r="H16" i="17"/>
  <c r="G16" i="17"/>
  <c r="F16" i="17"/>
  <c r="E16" i="17"/>
  <c r="K15" i="17"/>
  <c r="J15" i="17"/>
  <c r="I15" i="17"/>
  <c r="H15" i="17"/>
  <c r="G15" i="17"/>
  <c r="F15" i="17"/>
  <c r="E15" i="17"/>
  <c r="K14" i="17"/>
  <c r="J14" i="17"/>
  <c r="I14" i="17"/>
  <c r="H14" i="17"/>
  <c r="G14" i="17"/>
  <c r="F14" i="17"/>
  <c r="E14" i="17"/>
  <c r="K13" i="17"/>
  <c r="J13" i="17"/>
  <c r="I13" i="17"/>
  <c r="H13" i="17"/>
  <c r="G13" i="17"/>
  <c r="F13" i="17"/>
  <c r="E13" i="17"/>
  <c r="K12" i="17"/>
  <c r="J12" i="17"/>
  <c r="I12" i="17"/>
  <c r="H12" i="17"/>
  <c r="G12" i="17"/>
  <c r="F12" i="17"/>
  <c r="E12" i="17"/>
  <c r="A1" i="17"/>
  <c r="A1" i="16"/>
  <c r="K70" i="6" l="1"/>
  <c r="L64" i="6"/>
  <c r="J88" i="6"/>
  <c r="J89" i="6"/>
  <c r="L26" i="17"/>
  <c r="M26" i="17" s="1"/>
  <c r="J10" i="19" s="1"/>
  <c r="C76" i="6" s="1"/>
  <c r="L25" i="17"/>
  <c r="M25" i="17" s="1"/>
  <c r="J9" i="19" s="1"/>
  <c r="C75" i="6" s="1"/>
  <c r="L30" i="17"/>
  <c r="M30" i="17" s="1"/>
  <c r="J14" i="19" s="1"/>
  <c r="C80" i="6" s="1"/>
  <c r="L29" i="17"/>
  <c r="M29" i="17" s="1"/>
  <c r="J13" i="19" s="1"/>
  <c r="C79" i="6" s="1"/>
  <c r="J86" i="6"/>
  <c r="M54" i="6"/>
  <c r="M65" i="6" s="1"/>
  <c r="M21" i="6"/>
  <c r="N10" i="6"/>
  <c r="L23" i="6"/>
  <c r="L56" i="6"/>
  <c r="L67" i="6" s="1"/>
  <c r="M22" i="6"/>
  <c r="M55" i="6"/>
  <c r="M66" i="6" s="1"/>
  <c r="K59" i="6"/>
  <c r="M20" i="6"/>
  <c r="M53" i="6"/>
  <c r="L27" i="17"/>
  <c r="M27" i="17" s="1"/>
  <c r="J11" i="19" s="1"/>
  <c r="C77" i="6" s="1"/>
  <c r="L28" i="17"/>
  <c r="M28" i="17" s="1"/>
  <c r="J12" i="19" s="1"/>
  <c r="C78" i="6" s="1"/>
  <c r="K26" i="6"/>
  <c r="K42" i="6" s="1"/>
  <c r="K44" i="6"/>
  <c r="K45" i="6"/>
  <c r="L15" i="6"/>
  <c r="M14" i="6"/>
  <c r="M25" i="6" s="1"/>
  <c r="M12" i="6"/>
  <c r="N11" i="6"/>
  <c r="M13" i="6"/>
  <c r="M24" i="6" s="1"/>
  <c r="N9" i="6"/>
  <c r="L12" i="17"/>
  <c r="M12" i="17" s="1"/>
  <c r="E9" i="19" s="1"/>
  <c r="C31" i="6" s="1"/>
  <c r="L15" i="17"/>
  <c r="M15" i="17" s="1"/>
  <c r="E12" i="19" s="1"/>
  <c r="C34" i="6" s="1"/>
  <c r="L13" i="17"/>
  <c r="M13" i="17" s="1"/>
  <c r="E10" i="19" s="1"/>
  <c r="C32" i="6" s="1"/>
  <c r="L17" i="17"/>
  <c r="M17" i="17" s="1"/>
  <c r="E14" i="19" s="1"/>
  <c r="C36" i="6" s="1"/>
  <c r="L14" i="17"/>
  <c r="M14" i="17" s="1"/>
  <c r="E11" i="19" s="1"/>
  <c r="C33" i="6" s="1"/>
  <c r="L16" i="17"/>
  <c r="M16" i="17" s="1"/>
  <c r="E13" i="19" s="1"/>
  <c r="C35" i="6" s="1"/>
  <c r="L70" i="6" l="1"/>
  <c r="M64" i="6"/>
  <c r="K86" i="6"/>
  <c r="K89" i="6"/>
  <c r="K88" i="6"/>
  <c r="C81" i="6"/>
  <c r="K87" i="6" s="1"/>
  <c r="C37" i="6"/>
  <c r="L43" i="6" s="1"/>
  <c r="N54" i="6"/>
  <c r="N65" i="6" s="1"/>
  <c r="O10" i="6"/>
  <c r="N21" i="6"/>
  <c r="L59" i="6"/>
  <c r="N20" i="6"/>
  <c r="N53" i="6"/>
  <c r="M23" i="6"/>
  <c r="M56" i="6"/>
  <c r="M67" i="6" s="1"/>
  <c r="N22" i="6"/>
  <c r="N55" i="6"/>
  <c r="N66" i="6" s="1"/>
  <c r="L26" i="6"/>
  <c r="L42" i="6" s="1"/>
  <c r="L44" i="6"/>
  <c r="L45" i="6"/>
  <c r="N12" i="6"/>
  <c r="M15" i="6"/>
  <c r="N13" i="6"/>
  <c r="N24" i="6" s="1"/>
  <c r="O11" i="6"/>
  <c r="N14" i="6"/>
  <c r="N25" i="6" s="1"/>
  <c r="O9" i="6"/>
  <c r="A1" i="10"/>
  <c r="M70" i="6" l="1"/>
  <c r="N64" i="6"/>
  <c r="C87" i="6"/>
  <c r="C90" i="6" s="1"/>
  <c r="D87" i="6"/>
  <c r="D90" i="6" s="1"/>
  <c r="E87" i="6"/>
  <c r="E90" i="6" s="1"/>
  <c r="F87" i="6"/>
  <c r="F90" i="6" s="1"/>
  <c r="G87" i="6"/>
  <c r="G90" i="6" s="1"/>
  <c r="H87" i="6"/>
  <c r="H90" i="6" s="1"/>
  <c r="I87" i="6"/>
  <c r="I90" i="6" s="1"/>
  <c r="J87" i="6"/>
  <c r="J90" i="6" s="1"/>
  <c r="L86" i="6"/>
  <c r="L89" i="6"/>
  <c r="L87" i="6"/>
  <c r="L88" i="6"/>
  <c r="K90" i="6"/>
  <c r="D43" i="6"/>
  <c r="D46" i="6" s="1"/>
  <c r="C43" i="6"/>
  <c r="C46" i="6" s="1"/>
  <c r="E43" i="6"/>
  <c r="E46" i="6" s="1"/>
  <c r="F43" i="6"/>
  <c r="F46" i="6" s="1"/>
  <c r="G43" i="6"/>
  <c r="G46" i="6" s="1"/>
  <c r="H43" i="6"/>
  <c r="H46" i="6" s="1"/>
  <c r="I43" i="6"/>
  <c r="I46" i="6" s="1"/>
  <c r="J43" i="6"/>
  <c r="J46" i="6" s="1"/>
  <c r="K43" i="6"/>
  <c r="K46" i="6" s="1"/>
  <c r="O54" i="6"/>
  <c r="O65" i="6" s="1"/>
  <c r="P10" i="6"/>
  <c r="O21" i="6"/>
  <c r="O20" i="6"/>
  <c r="O53" i="6"/>
  <c r="O22" i="6"/>
  <c r="O55" i="6"/>
  <c r="O66" i="6" s="1"/>
  <c r="M59" i="6"/>
  <c r="N23" i="6"/>
  <c r="N56" i="6"/>
  <c r="N67" i="6" s="1"/>
  <c r="L46" i="6"/>
  <c r="M26" i="6"/>
  <c r="M42" i="6" s="1"/>
  <c r="M44" i="6"/>
  <c r="M45" i="6"/>
  <c r="M43" i="6"/>
  <c r="O13" i="6"/>
  <c r="O24" i="6" s="1"/>
  <c r="O12" i="6"/>
  <c r="O14" i="6"/>
  <c r="O25" i="6" s="1"/>
  <c r="P11" i="6"/>
  <c r="N15" i="6"/>
  <c r="P9" i="6"/>
  <c r="N70" i="6" l="1"/>
  <c r="O64" i="6"/>
  <c r="L90" i="6"/>
  <c r="M86" i="6"/>
  <c r="M89" i="6"/>
  <c r="M87" i="6"/>
  <c r="M88" i="6"/>
  <c r="P54" i="6"/>
  <c r="P65" i="6" s="1"/>
  <c r="Q10" i="6"/>
  <c r="P21" i="6"/>
  <c r="N59" i="6"/>
  <c r="P22" i="6"/>
  <c r="P55" i="6"/>
  <c r="P66" i="6" s="1"/>
  <c r="P20" i="6"/>
  <c r="P53" i="6"/>
  <c r="O23" i="6"/>
  <c r="O56" i="6"/>
  <c r="O67" i="6" s="1"/>
  <c r="M46" i="6"/>
  <c r="N26" i="6"/>
  <c r="N42" i="6" s="1"/>
  <c r="N44" i="6"/>
  <c r="N45" i="6"/>
  <c r="N43" i="6"/>
  <c r="O15" i="6"/>
  <c r="P14" i="6"/>
  <c r="P25" i="6" s="1"/>
  <c r="P12" i="6"/>
  <c r="Q11" i="6"/>
  <c r="P13" i="6"/>
  <c r="P24" i="6" s="1"/>
  <c r="Q9" i="6"/>
  <c r="O70" i="6" l="1"/>
  <c r="P64" i="6"/>
  <c r="M90" i="6"/>
  <c r="N86" i="6"/>
  <c r="N89" i="6"/>
  <c r="N87" i="6"/>
  <c r="N88" i="6"/>
  <c r="Q54" i="6"/>
  <c r="Q65" i="6" s="1"/>
  <c r="R10" i="6"/>
  <c r="Q21" i="6"/>
  <c r="Q20" i="6"/>
  <c r="Q53" i="6"/>
  <c r="P23" i="6"/>
  <c r="P56" i="6"/>
  <c r="P67" i="6" s="1"/>
  <c r="Q22" i="6"/>
  <c r="Q55" i="6"/>
  <c r="Q66" i="6" s="1"/>
  <c r="O59" i="6"/>
  <c r="N46" i="6"/>
  <c r="O26" i="6"/>
  <c r="O42" i="6" s="1"/>
  <c r="O44" i="6"/>
  <c r="O45" i="6"/>
  <c r="O43" i="6"/>
  <c r="Q12" i="6"/>
  <c r="P15" i="6"/>
  <c r="Q13" i="6"/>
  <c r="Q24" i="6" s="1"/>
  <c r="R11" i="6"/>
  <c r="Q14" i="6"/>
  <c r="Q25" i="6" s="1"/>
  <c r="R9" i="6"/>
  <c r="A1" i="8"/>
  <c r="A1" i="6"/>
  <c r="A1" i="5"/>
  <c r="P70" i="6" l="1"/>
  <c r="Q64" i="6"/>
  <c r="N90" i="6"/>
  <c r="O86" i="6"/>
  <c r="O87" i="6"/>
  <c r="O88" i="6"/>
  <c r="O89" i="6"/>
  <c r="R54" i="6"/>
  <c r="R65" i="6" s="1"/>
  <c r="R21" i="6"/>
  <c r="S10" i="6"/>
  <c r="R22" i="6"/>
  <c r="R55" i="6"/>
  <c r="R66" i="6" s="1"/>
  <c r="R20" i="6"/>
  <c r="R53" i="6"/>
  <c r="Q23" i="6"/>
  <c r="Q56" i="6"/>
  <c r="Q67" i="6" s="1"/>
  <c r="P59" i="6"/>
  <c r="O46" i="6"/>
  <c r="P26" i="6"/>
  <c r="P42" i="6" s="1"/>
  <c r="P45" i="6"/>
  <c r="P44" i="6"/>
  <c r="P43" i="6"/>
  <c r="R13" i="6"/>
  <c r="R24" i="6" s="1"/>
  <c r="Q15" i="6"/>
  <c r="R14" i="6"/>
  <c r="R25" i="6" s="1"/>
  <c r="S11" i="6"/>
  <c r="R12" i="6"/>
  <c r="S9" i="6"/>
  <c r="Q70" i="6" l="1"/>
  <c r="R64" i="6"/>
  <c r="O90" i="6"/>
  <c r="P86" i="6"/>
  <c r="P88" i="6"/>
  <c r="P89" i="6"/>
  <c r="P87" i="6"/>
  <c r="S54" i="6"/>
  <c r="S65" i="6" s="1"/>
  <c r="T10" i="6"/>
  <c r="S21" i="6"/>
  <c r="Q59" i="6"/>
  <c r="S20" i="6"/>
  <c r="S53" i="6"/>
  <c r="U54" i="6"/>
  <c r="U65" i="6" s="1"/>
  <c r="R23" i="6"/>
  <c r="R56" i="6"/>
  <c r="R67" i="6" s="1"/>
  <c r="S22" i="6"/>
  <c r="S55" i="6"/>
  <c r="S66" i="6" s="1"/>
  <c r="P46" i="6"/>
  <c r="Q26" i="6"/>
  <c r="Q42" i="6" s="1"/>
  <c r="Q44" i="6"/>
  <c r="Q45" i="6"/>
  <c r="Q43" i="6"/>
  <c r="S14" i="6"/>
  <c r="S25" i="6" s="1"/>
  <c r="S12" i="6"/>
  <c r="S13" i="6"/>
  <c r="S24" i="6" s="1"/>
  <c r="T11" i="6"/>
  <c r="R15" i="6"/>
  <c r="T9" i="6"/>
  <c r="R70" i="6" l="1"/>
  <c r="S64" i="6"/>
  <c r="P90" i="6"/>
  <c r="Q86" i="6"/>
  <c r="Q88" i="6"/>
  <c r="Q89" i="6"/>
  <c r="Q87" i="6"/>
  <c r="T54" i="6"/>
  <c r="T65" i="6" s="1"/>
  <c r="U10" i="6"/>
  <c r="T21" i="6"/>
  <c r="T22" i="6"/>
  <c r="T55" i="6"/>
  <c r="T66" i="6" s="1"/>
  <c r="V54" i="6"/>
  <c r="V65" i="6" s="1"/>
  <c r="T20" i="6"/>
  <c r="T53" i="6"/>
  <c r="S23" i="6"/>
  <c r="S56" i="6"/>
  <c r="S67" i="6" s="1"/>
  <c r="R59" i="6"/>
  <c r="Q46" i="6"/>
  <c r="R26" i="6"/>
  <c r="R42" i="6" s="1"/>
  <c r="R44" i="6"/>
  <c r="R45" i="6"/>
  <c r="R43" i="6"/>
  <c r="T13" i="6"/>
  <c r="T24" i="6" s="1"/>
  <c r="T12" i="6"/>
  <c r="T14" i="6"/>
  <c r="T25" i="6" s="1"/>
  <c r="U11" i="6"/>
  <c r="S15" i="6"/>
  <c r="U9" i="6"/>
  <c r="T64" i="6" l="1"/>
  <c r="S70" i="6"/>
  <c r="Q90" i="6"/>
  <c r="R86" i="6"/>
  <c r="R88" i="6"/>
  <c r="R89" i="6"/>
  <c r="R87" i="6"/>
  <c r="U21" i="6"/>
  <c r="V10" i="6"/>
  <c r="W54" i="6"/>
  <c r="W65" i="6" s="1"/>
  <c r="U20" i="6"/>
  <c r="U53" i="6"/>
  <c r="V9" i="6"/>
  <c r="T23" i="6"/>
  <c r="T56" i="6"/>
  <c r="T67" i="6" s="1"/>
  <c r="S59" i="6"/>
  <c r="U22" i="6"/>
  <c r="V11" i="6"/>
  <c r="U55" i="6"/>
  <c r="U66" i="6" s="1"/>
  <c r="R46" i="6"/>
  <c r="S26" i="6"/>
  <c r="S42" i="6" s="1"/>
  <c r="S45" i="6"/>
  <c r="S44" i="6"/>
  <c r="S43" i="6"/>
  <c r="U14" i="6"/>
  <c r="U12" i="6"/>
  <c r="T15" i="6"/>
  <c r="U13" i="6"/>
  <c r="T70" i="6" l="1"/>
  <c r="U64" i="6"/>
  <c r="R90" i="6"/>
  <c r="S86" i="6"/>
  <c r="S89" i="6"/>
  <c r="S87" i="6"/>
  <c r="S88" i="6"/>
  <c r="V21" i="6"/>
  <c r="W10" i="6"/>
  <c r="W9" i="6"/>
  <c r="V53" i="6"/>
  <c r="V20" i="6"/>
  <c r="U24" i="6"/>
  <c r="V13" i="6"/>
  <c r="V55" i="6"/>
  <c r="V66" i="6" s="1"/>
  <c r="V22" i="6"/>
  <c r="W11" i="6"/>
  <c r="T59" i="6"/>
  <c r="U25" i="6"/>
  <c r="V14" i="6"/>
  <c r="U23" i="6"/>
  <c r="U56" i="6"/>
  <c r="U67" i="6" s="1"/>
  <c r="V12" i="6"/>
  <c r="X54" i="6"/>
  <c r="X65" i="6" s="1"/>
  <c r="S46" i="6"/>
  <c r="T26" i="6"/>
  <c r="T42" i="6" s="1"/>
  <c r="T45" i="6"/>
  <c r="T44" i="6"/>
  <c r="T43" i="6"/>
  <c r="U15" i="6"/>
  <c r="V64" i="6" l="1"/>
  <c r="U70" i="6"/>
  <c r="S90" i="6"/>
  <c r="T86" i="6"/>
  <c r="T89" i="6"/>
  <c r="T87" i="6"/>
  <c r="T88" i="6"/>
  <c r="X10" i="6"/>
  <c r="W21" i="6"/>
  <c r="W53" i="6"/>
  <c r="X9" i="6"/>
  <c r="W20" i="6"/>
  <c r="V24" i="6"/>
  <c r="W13" i="6"/>
  <c r="Y54" i="6"/>
  <c r="Y65" i="6" s="1"/>
  <c r="U59" i="6"/>
  <c r="V25" i="6"/>
  <c r="W14" i="6"/>
  <c r="W22" i="6"/>
  <c r="W55" i="6"/>
  <c r="W66" i="6" s="1"/>
  <c r="X11" i="6"/>
  <c r="V23" i="6"/>
  <c r="W12" i="6"/>
  <c r="V56" i="6"/>
  <c r="V67" i="6" s="1"/>
  <c r="V15" i="6"/>
  <c r="T46" i="6"/>
  <c r="U26" i="6"/>
  <c r="U42" i="6" s="1"/>
  <c r="U44" i="6"/>
  <c r="U45" i="6"/>
  <c r="U43" i="6"/>
  <c r="V70" i="6" l="1"/>
  <c r="W64" i="6"/>
  <c r="T90" i="6"/>
  <c r="U86" i="6"/>
  <c r="U89" i="6"/>
  <c r="U87" i="6"/>
  <c r="U88" i="6"/>
  <c r="Y10" i="6"/>
  <c r="X21" i="6"/>
  <c r="Y11" i="6"/>
  <c r="X55" i="6"/>
  <c r="X66" i="6" s="1"/>
  <c r="X22" i="6"/>
  <c r="X14" i="6"/>
  <c r="W25" i="6"/>
  <c r="X13" i="6"/>
  <c r="W24" i="6"/>
  <c r="V26" i="6"/>
  <c r="V42" i="6" s="1"/>
  <c r="V45" i="6"/>
  <c r="V43" i="6"/>
  <c r="V44" i="6"/>
  <c r="V59" i="6"/>
  <c r="X53" i="6"/>
  <c r="X20" i="6"/>
  <c r="Y9" i="6"/>
  <c r="X12" i="6"/>
  <c r="W56" i="6"/>
  <c r="W67" i="6" s="1"/>
  <c r="W70" i="6" s="1"/>
  <c r="W23" i="6"/>
  <c r="W15" i="6"/>
  <c r="Z54" i="6"/>
  <c r="Z65" i="6" s="1"/>
  <c r="U46" i="6"/>
  <c r="X64" i="6" l="1"/>
  <c r="U90" i="6"/>
  <c r="V86" i="6"/>
  <c r="V87" i="6"/>
  <c r="V88" i="6"/>
  <c r="V89" i="6"/>
  <c r="Y21" i="6"/>
  <c r="Z10" i="6"/>
  <c r="W59" i="6"/>
  <c r="Y13" i="6"/>
  <c r="X24" i="6"/>
  <c r="Y14" i="6"/>
  <c r="X25" i="6"/>
  <c r="X56" i="6"/>
  <c r="X67" i="6" s="1"/>
  <c r="X23" i="6"/>
  <c r="Y12" i="6"/>
  <c r="AA54" i="6"/>
  <c r="AA65" i="6" s="1"/>
  <c r="Y53" i="6"/>
  <c r="Z9" i="6"/>
  <c r="Y20" i="6"/>
  <c r="W45" i="6"/>
  <c r="W26" i="6"/>
  <c r="W42" i="6" s="1"/>
  <c r="W43" i="6"/>
  <c r="W44" i="6"/>
  <c r="X15" i="6"/>
  <c r="V46" i="6"/>
  <c r="Y55" i="6"/>
  <c r="Y66" i="6" s="1"/>
  <c r="Y22" i="6"/>
  <c r="Z11" i="6"/>
  <c r="A1" i="2"/>
  <c r="X70" i="6" l="1"/>
  <c r="Y64" i="6"/>
  <c r="V90" i="6"/>
  <c r="W86" i="6"/>
  <c r="W87" i="6"/>
  <c r="W88" i="6"/>
  <c r="W89" i="6"/>
  <c r="Z21" i="6"/>
  <c r="AA10" i="6"/>
  <c r="Y15" i="6"/>
  <c r="Y26" i="6" s="1"/>
  <c r="Y42" i="6" s="1"/>
  <c r="X26" i="6"/>
  <c r="X42" i="6" s="1"/>
  <c r="X43" i="6"/>
  <c r="X45" i="6"/>
  <c r="X44" i="6"/>
  <c r="Y56" i="6"/>
  <c r="Y67" i="6" s="1"/>
  <c r="Y23" i="6"/>
  <c r="Z12" i="6"/>
  <c r="Z53" i="6"/>
  <c r="Z20" i="6"/>
  <c r="AA9" i="6"/>
  <c r="X59" i="6"/>
  <c r="Z55" i="6"/>
  <c r="Z66" i="6" s="1"/>
  <c r="Z22" i="6"/>
  <c r="AA11" i="6"/>
  <c r="W46" i="6"/>
  <c r="Z14" i="6"/>
  <c r="Y25" i="6"/>
  <c r="AB54" i="6"/>
  <c r="AB65" i="6" s="1"/>
  <c r="Z13" i="6"/>
  <c r="Y24" i="6"/>
  <c r="Y70" i="6" l="1"/>
  <c r="Z64" i="6"/>
  <c r="W90" i="6"/>
  <c r="X86" i="6"/>
  <c r="X88" i="6"/>
  <c r="X89" i="6"/>
  <c r="X87" i="6"/>
  <c r="Y43" i="6"/>
  <c r="Y45" i="6"/>
  <c r="Y44" i="6"/>
  <c r="AA21" i="6"/>
  <c r="AB10" i="6"/>
  <c r="Y59" i="6"/>
  <c r="AA13" i="6"/>
  <c r="Z24" i="6"/>
  <c r="AC54" i="6"/>
  <c r="AC65" i="6" s="1"/>
  <c r="AA53" i="6"/>
  <c r="AB9" i="6"/>
  <c r="AA20" i="6"/>
  <c r="Z25" i="6"/>
  <c r="AA14" i="6"/>
  <c r="Z15" i="6"/>
  <c r="AA55" i="6"/>
  <c r="AA66" i="6" s="1"/>
  <c r="AB11" i="6"/>
  <c r="AA22" i="6"/>
  <c r="Z56" i="6"/>
  <c r="Z67" i="6" s="1"/>
  <c r="Z70" i="6" s="1"/>
  <c r="Z23" i="6"/>
  <c r="AA12" i="6"/>
  <c r="X46" i="6"/>
  <c r="AA64" i="6" l="1"/>
  <c r="X90" i="6"/>
  <c r="Y86" i="6"/>
  <c r="Y88" i="6"/>
  <c r="Y89" i="6"/>
  <c r="Y87" i="6"/>
  <c r="Y46" i="6"/>
  <c r="AC10" i="6"/>
  <c r="AB21" i="6"/>
  <c r="Z59" i="6"/>
  <c r="AA56" i="6"/>
  <c r="AA67" i="6" s="1"/>
  <c r="AA23" i="6"/>
  <c r="AB12" i="6"/>
  <c r="AB14" i="6"/>
  <c r="AA25" i="6"/>
  <c r="AB55" i="6"/>
  <c r="AB66" i="6" s="1"/>
  <c r="AB22" i="6"/>
  <c r="AC11" i="6"/>
  <c r="AB53" i="6"/>
  <c r="AB20" i="6"/>
  <c r="AC9" i="6"/>
  <c r="AA15" i="6"/>
  <c r="AA24" i="6"/>
  <c r="AB13" i="6"/>
  <c r="Z44" i="6"/>
  <c r="Z43" i="6"/>
  <c r="Z45" i="6"/>
  <c r="Z26" i="6"/>
  <c r="Z42" i="6" s="1"/>
  <c r="AD54" i="6"/>
  <c r="AD65" i="6" s="1"/>
  <c r="AA70" i="6" l="1"/>
  <c r="AB64" i="6"/>
  <c r="Y90" i="6"/>
  <c r="Z86" i="6"/>
  <c r="Z88" i="6"/>
  <c r="Z89" i="6"/>
  <c r="Z87" i="6"/>
  <c r="AD10" i="6"/>
  <c r="AC21" i="6"/>
  <c r="AB15" i="6"/>
  <c r="AB26" i="6" s="1"/>
  <c r="AB42" i="6" s="1"/>
  <c r="Z46" i="6"/>
  <c r="AA59" i="6"/>
  <c r="AB25" i="6"/>
  <c r="AC14" i="6"/>
  <c r="AA26" i="6"/>
  <c r="AA42" i="6" s="1"/>
  <c r="AA44" i="6"/>
  <c r="AA45" i="6"/>
  <c r="AA43" i="6"/>
  <c r="AE54" i="6"/>
  <c r="AE65" i="6" s="1"/>
  <c r="AC53" i="6"/>
  <c r="AD9" i="6"/>
  <c r="AC20" i="6"/>
  <c r="AB56" i="6"/>
  <c r="AB67" i="6" s="1"/>
  <c r="AB23" i="6"/>
  <c r="AC12" i="6"/>
  <c r="AC13" i="6"/>
  <c r="AB24" i="6"/>
  <c r="AC55" i="6"/>
  <c r="AC66" i="6" s="1"/>
  <c r="AD11" i="6"/>
  <c r="AC22" i="6"/>
  <c r="AB70" i="6" l="1"/>
  <c r="AC64" i="6"/>
  <c r="Z90" i="6"/>
  <c r="AA86" i="6"/>
  <c r="AA89" i="6"/>
  <c r="AA88" i="6"/>
  <c r="AA87" i="6"/>
  <c r="AB44" i="6"/>
  <c r="AB43" i="6"/>
  <c r="AD21" i="6"/>
  <c r="AE10" i="6"/>
  <c r="AB45" i="6"/>
  <c r="AD55" i="6"/>
  <c r="AD66" i="6" s="1"/>
  <c r="AD22" i="6"/>
  <c r="AE11" i="6"/>
  <c r="AD53" i="6"/>
  <c r="AE9" i="6"/>
  <c r="AD20" i="6"/>
  <c r="AD13" i="6"/>
  <c r="AC24" i="6"/>
  <c r="AF54" i="6"/>
  <c r="AF65" i="6" s="1"/>
  <c r="D136" i="6" s="1"/>
  <c r="AC56" i="6"/>
  <c r="AC67" i="6" s="1"/>
  <c r="AC23" i="6"/>
  <c r="AD12" i="6"/>
  <c r="AA46" i="6"/>
  <c r="AC15" i="6"/>
  <c r="AB59" i="6"/>
  <c r="AD14" i="6"/>
  <c r="AC25" i="6"/>
  <c r="AC70" i="6" l="1"/>
  <c r="AD64" i="6"/>
  <c r="AA90" i="6"/>
  <c r="AB86" i="6"/>
  <c r="AB89" i="6"/>
  <c r="AB87" i="6"/>
  <c r="AB88" i="6"/>
  <c r="AB46" i="6"/>
  <c r="AE21" i="6"/>
  <c r="AF10" i="6"/>
  <c r="D125" i="6"/>
  <c r="AD56" i="6"/>
  <c r="AD67" i="6" s="1"/>
  <c r="AE12" i="6"/>
  <c r="AD23" i="6"/>
  <c r="AE55" i="6"/>
  <c r="AE66" i="6" s="1"/>
  <c r="AE22" i="6"/>
  <c r="AF11" i="6"/>
  <c r="E126" i="6" s="1"/>
  <c r="AE53" i="6"/>
  <c r="AE20" i="6"/>
  <c r="AF9" i="6"/>
  <c r="E124" i="6" s="1"/>
  <c r="AE14" i="6"/>
  <c r="AD25" i="6"/>
  <c r="AC45" i="6"/>
  <c r="AC44" i="6"/>
  <c r="AC26" i="6"/>
  <c r="AC42" i="6" s="1"/>
  <c r="AC43" i="6"/>
  <c r="AD24" i="6"/>
  <c r="AE13" i="6"/>
  <c r="AD15" i="6"/>
  <c r="AC59" i="6"/>
  <c r="AD70" i="6" l="1"/>
  <c r="AE64" i="6"/>
  <c r="AB90" i="6"/>
  <c r="AC86" i="6"/>
  <c r="AC89" i="6"/>
  <c r="AC87" i="6"/>
  <c r="AC88" i="6"/>
  <c r="E125" i="6"/>
  <c r="F125" i="6" s="1"/>
  <c r="AF21" i="6"/>
  <c r="AE15" i="6"/>
  <c r="AE26" i="6" s="1"/>
  <c r="AE42" i="6" s="1"/>
  <c r="AD44" i="6"/>
  <c r="AD26" i="6"/>
  <c r="AD42" i="6" s="1"/>
  <c r="AD45" i="6"/>
  <c r="AD43" i="6"/>
  <c r="AF14" i="6"/>
  <c r="AE25" i="6"/>
  <c r="AE56" i="6"/>
  <c r="AE67" i="6" s="1"/>
  <c r="AE23" i="6"/>
  <c r="AF12" i="6"/>
  <c r="E127" i="6" s="1"/>
  <c r="AF13" i="6"/>
  <c r="AE24" i="6"/>
  <c r="AF22" i="6"/>
  <c r="E137" i="6" s="1"/>
  <c r="AF55" i="6"/>
  <c r="AF66" i="6" s="1"/>
  <c r="D137" i="6" s="1"/>
  <c r="AC46" i="6"/>
  <c r="AF53" i="6"/>
  <c r="D124" i="6" s="1"/>
  <c r="AF20" i="6"/>
  <c r="AD59" i="6"/>
  <c r="AE70" i="6" l="1"/>
  <c r="AC90" i="6"/>
  <c r="AD86" i="6"/>
  <c r="AD87" i="6"/>
  <c r="AD88" i="6"/>
  <c r="AD89" i="6"/>
  <c r="AE44" i="6"/>
  <c r="AE45" i="6"/>
  <c r="AF64" i="6"/>
  <c r="E135" i="6"/>
  <c r="E136" i="6"/>
  <c r="F136" i="6" s="1"/>
  <c r="AE43" i="6"/>
  <c r="AF24" i="6"/>
  <c r="E128" i="6"/>
  <c r="F128" i="6" s="1"/>
  <c r="F124" i="6"/>
  <c r="AF25" i="6"/>
  <c r="E129" i="6"/>
  <c r="F129" i="6" s="1"/>
  <c r="F137" i="6"/>
  <c r="D126" i="6"/>
  <c r="F126" i="6" s="1"/>
  <c r="AE59" i="6"/>
  <c r="AF15" i="6"/>
  <c r="AF23" i="6"/>
  <c r="E138" i="6" s="1"/>
  <c r="AF56" i="6"/>
  <c r="AF67" i="6" s="1"/>
  <c r="D138" i="6" s="1"/>
  <c r="AD46" i="6"/>
  <c r="AD90" i="6" l="1"/>
  <c r="AE86" i="6"/>
  <c r="AE87" i="6"/>
  <c r="AE88" i="6"/>
  <c r="AE89" i="6"/>
  <c r="AE46" i="6"/>
  <c r="E139" i="6"/>
  <c r="F139" i="6" s="1"/>
  <c r="E140" i="6"/>
  <c r="F140" i="6" s="1"/>
  <c r="AF70" i="6"/>
  <c r="D135" i="6"/>
  <c r="F135" i="6" s="1"/>
  <c r="E130" i="6"/>
  <c r="D91" i="10" s="1"/>
  <c r="F138" i="6"/>
  <c r="D127" i="6"/>
  <c r="F127" i="6" s="1"/>
  <c r="F130" i="6" s="1"/>
  <c r="E91" i="10" s="1"/>
  <c r="AF59" i="6"/>
  <c r="AF44" i="6"/>
  <c r="D99" i="6" s="1"/>
  <c r="D68" i="10" s="1"/>
  <c r="AF43" i="6"/>
  <c r="D98" i="6" s="1"/>
  <c r="D67" i="10" s="1"/>
  <c r="AF26" i="6"/>
  <c r="AF42" i="6" s="1"/>
  <c r="D97" i="6" s="1"/>
  <c r="D66" i="10" s="1"/>
  <c r="AF45" i="6"/>
  <c r="D100" i="6" s="1"/>
  <c r="D69" i="10" s="1"/>
  <c r="D73" i="10" l="1"/>
  <c r="D101" i="6"/>
  <c r="AE90" i="6"/>
  <c r="AF87" i="6"/>
  <c r="C98" i="6" s="1"/>
  <c r="AF88" i="6"/>
  <c r="C99" i="6" s="1"/>
  <c r="AF89" i="6"/>
  <c r="C100" i="6" s="1"/>
  <c r="F141" i="6"/>
  <c r="E92" i="10" s="1"/>
  <c r="AF86" i="6"/>
  <c r="C97" i="6" s="1"/>
  <c r="E97" i="6" s="1"/>
  <c r="E141" i="6"/>
  <c r="D92" i="10" s="1"/>
  <c r="D141" i="6"/>
  <c r="C92" i="10" s="1"/>
  <c r="D130" i="6"/>
  <c r="C91" i="10" s="1"/>
  <c r="AF46" i="6"/>
  <c r="C66" i="10" l="1"/>
  <c r="E100" i="6"/>
  <c r="C79" i="10" s="1"/>
  <c r="C69" i="10"/>
  <c r="E99" i="6"/>
  <c r="C78" i="10" s="1"/>
  <c r="C68" i="10"/>
  <c r="E98" i="6"/>
  <c r="C77" i="10" s="1"/>
  <c r="C67" i="10"/>
  <c r="C101" i="6"/>
  <c r="AF90" i="6"/>
  <c r="C73" i="10" l="1"/>
  <c r="E101" i="6"/>
  <c r="C76" i="10"/>
  <c r="C114" i="6" l="1"/>
  <c r="C80" i="10"/>
  <c r="C86" i="10" s="1"/>
  <c r="C85" i="10" l="1"/>
  <c r="C116" i="6"/>
  <c r="C117" i="6"/>
</calcChain>
</file>

<file path=xl/sharedStrings.xml><?xml version="1.0" encoding="utf-8"?>
<sst xmlns="http://schemas.openxmlformats.org/spreadsheetml/2006/main" count="1096" uniqueCount="353">
  <si>
    <t>Insert description</t>
  </si>
  <si>
    <t>Description</t>
  </si>
  <si>
    <t>Author</t>
  </si>
  <si>
    <t>Version</t>
  </si>
  <si>
    <t>Vehicle characteristics for CBA</t>
  </si>
  <si>
    <t>Base VOC (cents/km)</t>
  </si>
  <si>
    <t>K1</t>
  </si>
  <si>
    <t>K2</t>
  </si>
  <si>
    <t>K3</t>
  </si>
  <si>
    <t>K4</t>
  </si>
  <si>
    <t>K5</t>
  </si>
  <si>
    <t>K6</t>
  </si>
  <si>
    <t>Medium Car</t>
  </si>
  <si>
    <t xml:space="preserve">VOC FORMULA = BaseVOC x (K1 + K2 / V + K3 x V^2 + K4 * IRI + K5 x IRI ^ 2 + K6 x GVM) </t>
  </si>
  <si>
    <t>Where V = speed and GVM = GVM = Gross vehicle mass in Tonnes</t>
  </si>
  <si>
    <t>Medium Rigid</t>
  </si>
  <si>
    <t xml:space="preserve"> This is sourced from ATAP guidelines, available at </t>
  </si>
  <si>
    <t>atap.gov.au/parameter-values/road-transport/files/pv2_road_parameter_values.pdf, page 42</t>
  </si>
  <si>
    <t>Value</t>
  </si>
  <si>
    <t>AADT</t>
  </si>
  <si>
    <t>Passenger cars</t>
  </si>
  <si>
    <t>Discount rate</t>
  </si>
  <si>
    <t>Characteristic</t>
  </si>
  <si>
    <t>Original route</t>
  </si>
  <si>
    <t>NPV</t>
  </si>
  <si>
    <t>Year</t>
  </si>
  <si>
    <t>Austroads</t>
  </si>
  <si>
    <t>Template for bridges and other structures</t>
  </si>
  <si>
    <t>User inputs</t>
  </si>
  <si>
    <t>Base case costs</t>
  </si>
  <si>
    <t>Ongoing maintenance</t>
  </si>
  <si>
    <t>Periodic upgrades</t>
  </si>
  <si>
    <t>High level assumptions</t>
  </si>
  <si>
    <t>Urban</t>
  </si>
  <si>
    <t>Average speed</t>
  </si>
  <si>
    <t>Restriction</t>
  </si>
  <si>
    <t>Likelihood</t>
  </si>
  <si>
    <t>Light vehicles</t>
  </si>
  <si>
    <t>Total</t>
  </si>
  <si>
    <t>Costs</t>
  </si>
  <si>
    <t>Buses</t>
  </si>
  <si>
    <t>Articulated trucks</t>
  </si>
  <si>
    <t>Vehicle mix</t>
  </si>
  <si>
    <t>Asset class</t>
  </si>
  <si>
    <t>Region</t>
  </si>
  <si>
    <t>Consequence</t>
  </si>
  <si>
    <t>Risk score</t>
  </si>
  <si>
    <t>Capex</t>
  </si>
  <si>
    <t>Pavements</t>
  </si>
  <si>
    <t>Serious</t>
  </si>
  <si>
    <t>Likely</t>
  </si>
  <si>
    <t>Marginal</t>
  </si>
  <si>
    <t>Possible</t>
  </si>
  <si>
    <t>Critical</t>
  </si>
  <si>
    <t>Unlikely</t>
  </si>
  <si>
    <t>Catastrophic</t>
  </si>
  <si>
    <t>Structures</t>
  </si>
  <si>
    <t>Almost certain</t>
  </si>
  <si>
    <t>Rare</t>
  </si>
  <si>
    <t>Opex</t>
  </si>
  <si>
    <t>Rural</t>
  </si>
  <si>
    <t>Traffic facility</t>
  </si>
  <si>
    <t>Negligible</t>
  </si>
  <si>
    <t>Expenditure categories</t>
  </si>
  <si>
    <t>Consequence of no investment</t>
  </si>
  <si>
    <t>Yes</t>
  </si>
  <si>
    <t>No</t>
  </si>
  <si>
    <t>Risk assessment</t>
  </si>
  <si>
    <t>Detour</t>
  </si>
  <si>
    <t>Risk description</t>
  </si>
  <si>
    <t>Without investment</t>
  </si>
  <si>
    <t>Score</t>
  </si>
  <si>
    <t>With investment</t>
  </si>
  <si>
    <t>Safety</t>
  </si>
  <si>
    <t>Mobility</t>
  </si>
  <si>
    <t>Asset/environment</t>
  </si>
  <si>
    <t>Financial costs</t>
  </si>
  <si>
    <t>Reputational</t>
  </si>
  <si>
    <t>Outputs</t>
  </si>
  <si>
    <t>Length of route (km)</t>
  </si>
  <si>
    <t>Overview of asset and investment</t>
  </si>
  <si>
    <t>Difference</t>
  </si>
  <si>
    <t>Project case costs</t>
  </si>
  <si>
    <t>VOC</t>
  </si>
  <si>
    <t>Combination vehicles</t>
  </si>
  <si>
    <t>IRI</t>
  </si>
  <si>
    <t>2018-19</t>
  </si>
  <si>
    <t>01. Small Car</t>
  </si>
  <si>
    <t>02. Medium Car</t>
  </si>
  <si>
    <t>03. Large Car</t>
  </si>
  <si>
    <t>04. Courier Van-Utility</t>
  </si>
  <si>
    <t>05. 4WD Mid Size Petrol</t>
  </si>
  <si>
    <t>06. Light Rigid</t>
  </si>
  <si>
    <t>07. Medium Rigid</t>
  </si>
  <si>
    <t>08. Heavy Rigid</t>
  </si>
  <si>
    <t xml:space="preserve">09. Heavy Bus </t>
  </si>
  <si>
    <t xml:space="preserve">10. Artic 4 Axle </t>
  </si>
  <si>
    <t xml:space="preserve">11. Artic 5 Axle </t>
  </si>
  <si>
    <t>12. Artic 6 Axle</t>
  </si>
  <si>
    <t xml:space="preserve">13. Rigid + 5 Axle Dog </t>
  </si>
  <si>
    <t>14. B-Double</t>
  </si>
  <si>
    <t>15. Twin steer + 5 Axle Dog</t>
  </si>
  <si>
    <t>16. A-Double</t>
  </si>
  <si>
    <t>17. B Triple</t>
  </si>
  <si>
    <t>18. A B Combination</t>
  </si>
  <si>
    <t>19. A-Triple</t>
  </si>
  <si>
    <t>20. Double B-Double</t>
  </si>
  <si>
    <t>Vehicle Class</t>
  </si>
  <si>
    <t>Date</t>
  </si>
  <si>
    <t>2012-13</t>
  </si>
  <si>
    <t>2013-14</t>
  </si>
  <si>
    <t>2014-15</t>
  </si>
  <si>
    <t>2015-16</t>
  </si>
  <si>
    <t>2016-17</t>
  </si>
  <si>
    <t>2017-18</t>
  </si>
  <si>
    <t>Base VOC</t>
  </si>
  <si>
    <t xml:space="preserve">Gradient </t>
  </si>
  <si>
    <t xml:space="preserve">Curvature </t>
  </si>
  <si>
    <t>Vehicle operating cost model coefficients</t>
  </si>
  <si>
    <t>Gradient</t>
  </si>
  <si>
    <t>Curvature</t>
  </si>
  <si>
    <t>20. B-Double</t>
  </si>
  <si>
    <t>2 axle rigids</t>
  </si>
  <si>
    <t>3 axle rigids</t>
  </si>
  <si>
    <t>Mass</t>
  </si>
  <si>
    <t>Curvature (°/km)</t>
  </si>
  <si>
    <t>Gradient (%)</t>
  </si>
  <si>
    <t>Speed (km/h)</t>
  </si>
  <si>
    <t>Source</t>
  </si>
  <si>
    <t>TfNSW Rural VOC Calculator</t>
  </si>
  <si>
    <t>Travel conditions</t>
  </si>
  <si>
    <t>Urban - stop start</t>
  </si>
  <si>
    <t>Urban - free flow</t>
  </si>
  <si>
    <t>Mass sourced from TfNSW, Rural Vehicle Operating Cost &amp; Fuel Consumption Calculator. Assumed loading of 75%</t>
  </si>
  <si>
    <t>Alternative/detour route</t>
  </si>
  <si>
    <t xml:space="preserve">Matching vehicle </t>
  </si>
  <si>
    <t>VOC (cent per km, June 2013)</t>
  </si>
  <si>
    <t>A</t>
  </si>
  <si>
    <t>B</t>
  </si>
  <si>
    <t>D</t>
  </si>
  <si>
    <t>E</t>
  </si>
  <si>
    <t>Heavy Rigid</t>
  </si>
  <si>
    <t>6 Axle</t>
  </si>
  <si>
    <t>B Double</t>
  </si>
  <si>
    <t>Bus</t>
  </si>
  <si>
    <t>C0</t>
  </si>
  <si>
    <t>C1</t>
  </si>
  <si>
    <t>C2</t>
  </si>
  <si>
    <t>https://www.transport.nsw.gov.au/projects/project-delivery-requirements/evaluation-and-assurance/technical-guidance</t>
  </si>
  <si>
    <t xml:space="preserve">Where V = speed </t>
  </si>
  <si>
    <t xml:space="preserve"> This is sourced from TfNSW guidelines, available at </t>
  </si>
  <si>
    <t>Rural VOC Calculator( June 2013 dollars)</t>
  </si>
  <si>
    <t>Urban VOC Calculator (June 2019 dollars)</t>
  </si>
  <si>
    <t>VOC (cent per km, June 2020)</t>
  </si>
  <si>
    <t>VOC FORMULA = C0+C1V +C2^2 + D + E</t>
  </si>
  <si>
    <t>VOC FORMULA =  A + B/V + (D x 60/V) + E</t>
  </si>
  <si>
    <t>Stop start conditions</t>
  </si>
  <si>
    <t>Speed</t>
  </si>
  <si>
    <t>km/h</t>
  </si>
  <si>
    <t>Origin</t>
  </si>
  <si>
    <t>Alternative</t>
  </si>
  <si>
    <t>Original route Cent/km Jun 2019</t>
  </si>
  <si>
    <t>Detour Cent/km Jun 2019</t>
  </si>
  <si>
    <t>Original route Cent/km Jun 2020</t>
  </si>
  <si>
    <t>Detour Cent/km Jun 2020</t>
  </si>
  <si>
    <t>Free flow conditions</t>
  </si>
  <si>
    <t>Vehicle type</t>
  </si>
  <si>
    <t>TfNSW vehicle type</t>
  </si>
  <si>
    <t>Original route VOC</t>
  </si>
  <si>
    <t>Detour VOC</t>
  </si>
  <si>
    <t>VOC summary</t>
  </si>
  <si>
    <t>ABS CPI</t>
  </si>
  <si>
    <t>Notes</t>
  </si>
  <si>
    <t>ABS CPI, All groups CPI excluding 'volatile items' ;  Australia, series ID: A2330841L</t>
  </si>
  <si>
    <t xml:space="preserve">TfNSW, Economic Parameter Values, June 2020, available at </t>
  </si>
  <si>
    <t xml:space="preserve">We have assumed that 2 axle rigids matches to medium rigids, </t>
  </si>
  <si>
    <t>index</t>
  </si>
  <si>
    <t>Lists</t>
  </si>
  <si>
    <t>Years</t>
  </si>
  <si>
    <t>Traffic growth</t>
  </si>
  <si>
    <t>VKT (km)</t>
  </si>
  <si>
    <t>Average</t>
  </si>
  <si>
    <t>Travel time</t>
  </si>
  <si>
    <t>Externalities</t>
  </si>
  <si>
    <t>Source: ATAP guidelines, PV2 Road Parameter Values, 2016, p 30</t>
  </si>
  <si>
    <t>https://atap.gov.au/parameter-values/road-transport/files/pv2_road_parameter_values.pdf</t>
  </si>
  <si>
    <t>Note: Values are in 2013 dollars, inclusive of damage to vehicle and passenger</t>
  </si>
  <si>
    <t>State</t>
  </si>
  <si>
    <t>Rural Fatal crash</t>
  </si>
  <si>
    <t>Rural Serious injury crash</t>
  </si>
  <si>
    <t>Rural Other injury crash</t>
  </si>
  <si>
    <t>Urban Fatal crash</t>
  </si>
  <si>
    <t>Urban Serious injury crash</t>
  </si>
  <si>
    <t>Urban Other injury crash</t>
  </si>
  <si>
    <t>New South Wales</t>
  </si>
  <si>
    <t>Victoria</t>
  </si>
  <si>
    <t>Queensland</t>
  </si>
  <si>
    <t>South Australia</t>
  </si>
  <si>
    <t>Western Australia</t>
  </si>
  <si>
    <t>Tasmania</t>
  </si>
  <si>
    <t>Northern Territory</t>
  </si>
  <si>
    <t>Australian Capital Territory</t>
  </si>
  <si>
    <t>Cost per crash</t>
  </si>
  <si>
    <t>Articulated Truck 
involved</t>
  </si>
  <si>
    <t>Heavy Rigid Truck involved</t>
  </si>
  <si>
    <t>Any heavy truck involved</t>
  </si>
  <si>
    <t>Bus involved</t>
  </si>
  <si>
    <t xml:space="preserve">12 Months ended </t>
  </si>
  <si>
    <t>December 2011</t>
  </si>
  <si>
    <t>December 2012</t>
  </si>
  <si>
    <t>December 2013</t>
  </si>
  <si>
    <t>December 2014</t>
  </si>
  <si>
    <t>December 2015</t>
  </si>
  <si>
    <t>December 2016</t>
  </si>
  <si>
    <t>December 2017</t>
  </si>
  <si>
    <t>December 2018</t>
  </si>
  <si>
    <t>December 2019</t>
  </si>
  <si>
    <t>December 2020</t>
  </si>
  <si>
    <t xml:space="preserve">Source: BITRE, Fatal heavy vehicle crashes Australia quarterly bulletin Oct-Dec 2020, 22 February 2021, p2. </t>
  </si>
  <si>
    <t>https://www.bitre.gov.au/publications/ongoing/fatal_heavy_vehicle_crashes_quarterly</t>
  </si>
  <si>
    <t>Five year average</t>
  </si>
  <si>
    <t>Number of Fatal crashes</t>
  </si>
  <si>
    <t>Source: Australian Institute of Health and Welfare via BITRE.</t>
  </si>
  <si>
    <t>https://www.bitre.gov.au/publications/ongoing/hospitalised-injury</t>
  </si>
  <si>
    <t>Calender year</t>
  </si>
  <si>
    <t>injuries involving heavy vheicles</t>
  </si>
  <si>
    <t>injuries - no HV involvement</t>
  </si>
  <si>
    <t>Safety cost assumptions</t>
  </si>
  <si>
    <t>All fatal road crashes</t>
  </si>
  <si>
    <t>Not involving HV or bus</t>
  </si>
  <si>
    <t>Financial year</t>
  </si>
  <si>
    <t>Motor cycles</t>
  </si>
  <si>
    <t>Rigid and other trucks</t>
  </si>
  <si>
    <t>2010-11</t>
  </si>
  <si>
    <t>2011-12</t>
  </si>
  <si>
    <t>2019-20</t>
  </si>
  <si>
    <t>VKT by vehicle type (billion km)</t>
  </si>
  <si>
    <t>LCV</t>
  </si>
  <si>
    <t>Source: BITRE, Australian Infrastructure Statistics—Yearbook 2020, 23 December 2020, Table 4.2</t>
  </si>
  <si>
    <t>2013-2017 average</t>
  </si>
  <si>
    <t>Crash cost per VKT</t>
  </si>
  <si>
    <t>Source: ATAP, PV2 Road Parameter Values, August 2016, p19</t>
  </si>
  <si>
    <t>https://www.atap.gov.au/sites/default/files/pv2_road_parameter_values.pdf</t>
  </si>
  <si>
    <t>Value of time is calculated as occupancy rate x value of time of occupant.</t>
  </si>
  <si>
    <t xml:space="preserve">Value of freight is also included for freight vehicles. </t>
  </si>
  <si>
    <t>Value of time for buses varies for the driver and passengers</t>
  </si>
  <si>
    <t>Values have been inflated to June 2020</t>
  </si>
  <si>
    <t xml:space="preserve">Costs for private cars have been used </t>
  </si>
  <si>
    <t>Costs for medium rigid have been used</t>
  </si>
  <si>
    <t>Costs for heavy rigid have been used</t>
  </si>
  <si>
    <t>Costs for heavy buses have been used</t>
  </si>
  <si>
    <t>Costs for 6 axle articulated trucks have been used</t>
  </si>
  <si>
    <t>Costs for B-doubles have been used</t>
  </si>
  <si>
    <t>https://www.atap.gov.au/sites/default/files/documents/atap-pv5-environmental-parameter-values-080221.pdf</t>
  </si>
  <si>
    <t>$ per hour</t>
  </si>
  <si>
    <t>$ per VKT</t>
  </si>
  <si>
    <t>Costs per vkt by vehicle type</t>
  </si>
  <si>
    <t>Weighted average</t>
  </si>
  <si>
    <t>Active scenario</t>
  </si>
  <si>
    <t>Vehicle hours travelled (hours)</t>
  </si>
  <si>
    <t>$/vehicle hour</t>
  </si>
  <si>
    <t>Economic results</t>
  </si>
  <si>
    <t>Economic cost of travel</t>
  </si>
  <si>
    <t>Upfront investment</t>
  </si>
  <si>
    <t>Travel costs using original route</t>
  </si>
  <si>
    <t>Travel costs when restrictions apply</t>
  </si>
  <si>
    <t>Benefits</t>
  </si>
  <si>
    <t xml:space="preserve">Base case </t>
  </si>
  <si>
    <t>Project case</t>
  </si>
  <si>
    <t>Safety and travel time outcomes</t>
  </si>
  <si>
    <t>Fatalities avoided</t>
  </si>
  <si>
    <t>Fatalities (per billion vkt)</t>
  </si>
  <si>
    <t>Fatalities - base case</t>
  </si>
  <si>
    <t>Fatalities - Project case</t>
  </si>
  <si>
    <t>Hours saved</t>
  </si>
  <si>
    <t>Hours - base case</t>
  </si>
  <si>
    <t>Occupancy rate (per veh)</t>
  </si>
  <si>
    <t>Value of time and occupancy rate</t>
  </si>
  <si>
    <t>Same assumptions as table above</t>
  </si>
  <si>
    <t>Hours - project case</t>
  </si>
  <si>
    <t>Other</t>
  </si>
  <si>
    <t>Consequence/likelihood</t>
  </si>
  <si>
    <t>Overall</t>
  </si>
  <si>
    <t xml:space="preserve">PV benefits </t>
  </si>
  <si>
    <t>PV</t>
  </si>
  <si>
    <t>PV costs</t>
  </si>
  <si>
    <t>BCR</t>
  </si>
  <si>
    <t>Asset condition</t>
  </si>
  <si>
    <t>User interface</t>
  </si>
  <si>
    <t>Excellent</t>
  </si>
  <si>
    <t>Good</t>
  </si>
  <si>
    <t>Fair</t>
  </si>
  <si>
    <t>Poor</t>
  </si>
  <si>
    <t>Failed</t>
  </si>
  <si>
    <t>Economic metrics</t>
  </si>
  <si>
    <t>Total benefits</t>
  </si>
  <si>
    <t>Total costs</t>
  </si>
  <si>
    <t>Performance outcomes</t>
  </si>
  <si>
    <t>Number of serious injury crashes</t>
  </si>
  <si>
    <t xml:space="preserve">Source: TfNSW, Economic Parameter values, </t>
  </si>
  <si>
    <t>June 2020, table 31</t>
  </si>
  <si>
    <t>5 year avg - serious injuries</t>
  </si>
  <si>
    <t>5 year avg - serious injuries crashes</t>
  </si>
  <si>
    <t>https://roadsafety.transport.nsw.gov.au/downloads/crashstats2019.pdf</t>
  </si>
  <si>
    <t>Source: Road Traffic Casualty Crashes in NSW, TfNSW, for year ending 31 December 2019, p27</t>
  </si>
  <si>
    <t>Fatal crashes</t>
  </si>
  <si>
    <t>Serious injury crashes</t>
  </si>
  <si>
    <t>Moderate injury crashes</t>
  </si>
  <si>
    <t>Minor/other injury crashes</t>
  </si>
  <si>
    <t xml:space="preserve">Total casualty crashes </t>
  </si>
  <si>
    <t>five year avg</t>
  </si>
  <si>
    <t>Causual crashes in NSW by type</t>
  </si>
  <si>
    <t>Total (June 2013)</t>
  </si>
  <si>
    <t>Total (June 2020)</t>
  </si>
  <si>
    <t>Crash rate</t>
  </si>
  <si>
    <t>Serious injuries crashes</t>
  </si>
  <si>
    <t>Other injury crashes</t>
  </si>
  <si>
    <t>No. of serious injuries per serious injury crash</t>
  </si>
  <si>
    <t>No. of fatalities per fatal crash</t>
  </si>
  <si>
    <t>Number of serious injuries/fatalities per crash</t>
  </si>
  <si>
    <t>Occupancy rate</t>
  </si>
  <si>
    <t>3 axle rigids matches to heavy rigids.</t>
  </si>
  <si>
    <t>Source: ATAP, PV5 – Environmental parameter values, November 2020, p9-12</t>
  </si>
  <si>
    <t>Base case</t>
  </si>
  <si>
    <t>Hours saved present value</t>
  </si>
  <si>
    <t>Fatalities avoided present value</t>
  </si>
  <si>
    <t>Asset description</t>
  </si>
  <si>
    <t>Weighting</t>
  </si>
  <si>
    <t xml:space="preserve">Project case </t>
  </si>
  <si>
    <t>Highest risk</t>
  </si>
  <si>
    <t xml:space="preserve">Weighted average </t>
  </si>
  <si>
    <t>Risk assessment outcomes</t>
  </si>
  <si>
    <t>Condition assessment outcomes</t>
  </si>
  <si>
    <t>Travel time benefits</t>
  </si>
  <si>
    <t>VOC savings</t>
  </si>
  <si>
    <t>Safety benefits</t>
  </si>
  <si>
    <t>Externality benefits</t>
  </si>
  <si>
    <t>Cost benefit analysis</t>
  </si>
  <si>
    <t>Travel time costs</t>
  </si>
  <si>
    <t>Vehicle operating costs</t>
  </si>
  <si>
    <t>Safety costs</t>
  </si>
  <si>
    <t>Externality costs</t>
  </si>
  <si>
    <t>Publication date</t>
  </si>
  <si>
    <t>Publisher</t>
  </si>
  <si>
    <t>Title</t>
  </si>
  <si>
    <t>Supporting documents</t>
  </si>
  <si>
    <t>Investment Prioritisation Templates User Guide</t>
  </si>
  <si>
    <t>A Holistic Investment Prioritisation Framework for Road Assets</t>
  </si>
  <si>
    <t>Copyright</t>
  </si>
  <si>
    <t>Martin Chow, HoustonKemp Economists</t>
  </si>
  <si>
    <t>Investment prioritisation template: Bridges and other structures</t>
  </si>
  <si>
    <t>© Austroads 2021 | This work is copyright. Apart from any use as permitted under the Copyright Act 1968, no part may be reproduced by any process without the prior written permission of Austroads. This material is for personal use only, it is not to be used for commercial training purposes.</t>
  </si>
  <si>
    <t>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</si>
</sst>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_ ;\-#,##0\ "/>
    <numFmt numFmtId="169" formatCode="0.0"/>
    <numFmt numFmtId="170" formatCode="[$-C09]dddd\,\ d\ mmmm\ yyyy;@"/>
    <numFmt numFmtId="171" formatCode="0.0000"/>
    <numFmt numFmtId="172" formatCode="0.000000"/>
    <numFmt numFmtId="173" formatCode="0.000"/>
    <numFmt numFmtId="174" formatCode="&quot;$&quot;#,##0.000;[Red]\-&quot;$&quot;#,##0.000"/>
  </numFmts>
  <fonts count="44" x14ac:knownFonts="1">
    <font>
      <sz val="12"/>
      <color theme="1"/>
      <name val="Arial"/>
      <family val="2"/>
    </font>
    <font>
      <sz val="11"/>
      <color theme="1"/>
      <name val="Calibri"/>
      <family val="2"/>
      <scheme val="minor"/>
    </font>
    <font>
      <sz val="11"/>
      <color theme="1"/>
      <name val="Calibri"/>
      <family val="2"/>
      <scheme val="minor"/>
    </font>
    <font>
      <sz val="11"/>
      <color theme="1"/>
      <name val="Arial"/>
      <family val="2"/>
    </font>
    <font>
      <b/>
      <sz val="11"/>
      <name val="Arial"/>
      <family val="2"/>
    </font>
    <font>
      <b/>
      <sz val="24"/>
      <color theme="1"/>
      <name val="Calibri"/>
      <family val="2"/>
      <scheme val="minor"/>
    </font>
    <font>
      <b/>
      <sz val="14"/>
      <color theme="1"/>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Arial"/>
      <family val="2"/>
    </font>
    <font>
      <sz val="12"/>
      <name val="Arial"/>
      <family val="2"/>
    </font>
    <font>
      <b/>
      <sz val="16"/>
      <color theme="0"/>
      <name val="Arial"/>
      <family val="2"/>
    </font>
    <font>
      <b/>
      <sz val="16"/>
      <color theme="0"/>
      <name val="Calibri"/>
      <family val="2"/>
      <scheme val="minor"/>
    </font>
    <font>
      <b/>
      <sz val="12"/>
      <color theme="0"/>
      <name val="Arial"/>
      <family val="2"/>
    </font>
    <font>
      <sz val="11"/>
      <color theme="0"/>
      <name val="Arial"/>
      <family val="2"/>
    </font>
    <font>
      <sz val="11"/>
      <color rgb="FF002060"/>
      <name val="Arial"/>
      <family val="2"/>
    </font>
    <font>
      <b/>
      <sz val="36"/>
      <color rgb="FF002060"/>
      <name val="Arial"/>
      <family val="2"/>
    </font>
    <font>
      <sz val="10"/>
      <name val="Arial"/>
      <family val="2"/>
    </font>
    <font>
      <sz val="10"/>
      <color theme="1"/>
      <name val="Arial"/>
      <family val="2"/>
    </font>
    <font>
      <sz val="10"/>
      <color theme="0"/>
      <name val="Arial"/>
      <family val="2"/>
    </font>
    <font>
      <i/>
      <sz val="10"/>
      <name val="Cambria"/>
      <family val="1"/>
    </font>
    <font>
      <u/>
      <sz val="12"/>
      <color theme="10"/>
      <name val="Arial"/>
      <family val="2"/>
    </font>
    <font>
      <u/>
      <sz val="11"/>
      <color theme="10"/>
      <name val="Calibri"/>
      <family val="2"/>
      <scheme val="minor"/>
    </font>
    <font>
      <sz val="10"/>
      <name val="Arial"/>
      <family val="2"/>
    </font>
    <font>
      <u/>
      <sz val="10"/>
      <color indexed="12"/>
      <name val="Arial"/>
      <family val="2"/>
    </font>
    <font>
      <b/>
      <sz val="12.5"/>
      <color rgb="FF285A96"/>
      <name val="Gill Sans MT"/>
      <family val="2"/>
    </font>
    <font>
      <sz val="10"/>
      <name val="Gill Sans MT"/>
      <family val="2"/>
    </font>
    <font>
      <b/>
      <sz val="12"/>
      <color theme="1"/>
      <name val="Arial"/>
      <family val="2"/>
    </font>
    <font>
      <b/>
      <sz val="12"/>
      <name val="Arial"/>
      <family val="2"/>
    </font>
  </fonts>
  <fills count="47">
    <fill>
      <patternFill patternType="none"/>
    </fill>
    <fill>
      <patternFill patternType="gray125"/>
    </fill>
    <fill>
      <patternFill patternType="solid">
        <fgColor theme="0"/>
        <bgColor theme="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008698"/>
        <bgColor indexed="64"/>
      </patternFill>
    </fill>
    <fill>
      <patternFill patternType="solid">
        <fgColor rgb="FF696A6D"/>
        <bgColor indexed="64"/>
      </patternFill>
    </fill>
    <fill>
      <patternFill patternType="solid">
        <fgColor rgb="FF262D33"/>
        <bgColor indexed="64"/>
      </patternFill>
    </fill>
    <fill>
      <patternFill patternType="solid">
        <fgColor rgb="FFE0D4A4"/>
        <bgColor indexed="64"/>
      </patternFill>
    </fill>
    <fill>
      <patternFill patternType="solid">
        <fgColor rgb="FF9EC0DB"/>
        <bgColor indexed="64"/>
      </patternFill>
    </fill>
    <fill>
      <patternFill patternType="solid">
        <fgColor rgb="FFF6C1D1"/>
        <bgColor indexed="64"/>
      </patternFill>
    </fill>
    <fill>
      <patternFill patternType="solid">
        <fgColor rgb="FF9ECCA6"/>
        <bgColor indexed="64"/>
      </patternFill>
    </fill>
    <fill>
      <patternFill patternType="solid">
        <fgColor rgb="FF002060"/>
        <bgColor indexed="64"/>
      </patternFill>
    </fill>
    <fill>
      <patternFill patternType="solid">
        <fgColor theme="2"/>
        <bgColor theme="0"/>
      </patternFill>
    </fill>
    <fill>
      <patternFill patternType="solid">
        <fgColor theme="2"/>
        <bgColor indexed="64"/>
      </patternFill>
    </fill>
    <fill>
      <patternFill patternType="solid">
        <fgColor rgb="FF01374F"/>
        <bgColor theme="0"/>
      </patternFill>
    </fill>
    <fill>
      <patternFill patternType="solid">
        <fgColor rgb="FF01374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99">
    <xf numFmtId="0" fontId="0" fillId="0" borderId="0"/>
    <xf numFmtId="0" fontId="27" fillId="35" borderId="0"/>
    <xf numFmtId="167"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8" fillId="0" borderId="0" applyNumberFormat="0" applyFill="0" applyBorder="0" applyAlignment="0" applyProtection="0"/>
    <xf numFmtId="0" fontId="9" fillId="0" borderId="13" applyNumberFormat="0" applyFill="0" applyAlignment="0" applyProtection="0"/>
    <xf numFmtId="0" fontId="10" fillId="0" borderId="14" applyNumberFormat="0" applyFill="0" applyAlignment="0" applyProtection="0"/>
    <xf numFmtId="0" fontId="11" fillId="0" borderId="1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16" applyNumberFormat="0" applyAlignment="0" applyProtection="0"/>
    <xf numFmtId="0" fontId="16" fillId="7" borderId="17" applyNumberFormat="0" applyAlignment="0" applyProtection="0"/>
    <xf numFmtId="0" fontId="17" fillId="7" borderId="16" applyNumberFormat="0" applyAlignment="0" applyProtection="0"/>
    <xf numFmtId="0" fontId="18" fillId="0" borderId="18" applyNumberFormat="0" applyFill="0" applyAlignment="0" applyProtection="0"/>
    <xf numFmtId="0" fontId="19" fillId="8" borderId="19" applyNumberFormat="0" applyAlignment="0" applyProtection="0"/>
    <xf numFmtId="0" fontId="20" fillId="0" borderId="0" applyNumberFormat="0" applyFill="0" applyBorder="0" applyAlignment="0" applyProtection="0"/>
    <xf numFmtId="0" fontId="7" fillId="9" borderId="20" applyNumberFormat="0" applyFont="0" applyAlignment="0" applyProtection="0"/>
    <xf numFmtId="0" fontId="21" fillId="0" borderId="0" applyNumberFormat="0" applyFill="0" applyBorder="0" applyAlignment="0" applyProtection="0"/>
    <xf numFmtId="0" fontId="22" fillId="0" borderId="21" applyNumberFormat="0" applyFill="0" applyAlignment="0" applyProtection="0"/>
    <xf numFmtId="0" fontId="23"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23" fillId="33" borderId="0" applyNumberFormat="0" applyBorder="0" applyAlignment="0" applyProtection="0"/>
    <xf numFmtId="0" fontId="28" fillId="37" borderId="0"/>
    <xf numFmtId="0" fontId="28" fillId="36" borderId="0"/>
    <xf numFmtId="0" fontId="24" fillId="34" borderId="0"/>
    <xf numFmtId="2" fontId="24" fillId="38" borderId="0"/>
    <xf numFmtId="2" fontId="24" fillId="39" borderId="0"/>
    <xf numFmtId="2" fontId="24" fillId="40" borderId="0"/>
    <xf numFmtId="2" fontId="24" fillId="41" borderId="0"/>
    <xf numFmtId="0" fontId="2" fillId="0" borderId="0"/>
    <xf numFmtId="43" fontId="2" fillId="0" borderId="0" applyFont="0" applyFill="0" applyBorder="0" applyAlignment="0" applyProtection="0"/>
    <xf numFmtId="0" fontId="32" fillId="0" borderId="0"/>
    <xf numFmtId="170" fontId="35" fillId="34" borderId="0" applyNumberFormat="0" applyFont="0" applyBorder="0" applyAlignment="0" applyProtection="0">
      <alignment horizontal="left" vertical="center"/>
    </xf>
    <xf numFmtId="0" fontId="36" fillId="0" borderId="0" applyNumberForma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xf numFmtId="0" fontId="38" fillId="0" borderId="0"/>
    <xf numFmtId="0" fontId="39" fillId="0" borderId="0" applyNumberFormat="0" applyFill="0" applyBorder="0" applyAlignment="0" applyProtection="0">
      <alignment vertical="top"/>
      <protection locked="0"/>
    </xf>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32" fillId="0" borderId="0" applyFont="0" applyFill="0" applyBorder="0" applyAlignment="0" applyProtection="0"/>
    <xf numFmtId="0" fontId="1" fillId="0" borderId="0"/>
    <xf numFmtId="0" fontId="1" fillId="0" borderId="0"/>
    <xf numFmtId="0" fontId="1" fillId="0" borderId="0"/>
    <xf numFmtId="43" fontId="32" fillId="0" borderId="0" applyFont="0" applyFill="0" applyBorder="0" applyAlignment="0" applyProtection="0"/>
    <xf numFmtId="0" fontId="32" fillId="0" borderId="0"/>
    <xf numFmtId="0" fontId="32" fillId="0" borderId="0" applyNumberFormat="0" applyFill="0" applyBorder="0" applyAlignment="0" applyProtection="0"/>
    <xf numFmtId="0" fontId="1" fillId="0" borderId="0"/>
    <xf numFmtId="0" fontId="32" fillId="0" borderId="0" applyNumberFormat="0" applyFill="0" applyBorder="0" applyAlignment="0" applyProtection="0"/>
    <xf numFmtId="0" fontId="1" fillId="0" borderId="0"/>
    <xf numFmtId="0" fontId="32" fillId="0" borderId="0"/>
    <xf numFmtId="0" fontId="39" fillId="0" borderId="0" applyNumberFormat="0" applyFill="0" applyBorder="0" applyAlignment="0" applyProtection="0">
      <alignment vertical="top"/>
      <protection locked="0"/>
    </xf>
  </cellStyleXfs>
  <cellXfs count="141">
    <xf numFmtId="0" fontId="0" fillId="0" borderId="0" xfId="0"/>
    <xf numFmtId="0" fontId="3" fillId="0" borderId="0" xfId="0" applyFont="1"/>
    <xf numFmtId="0" fontId="6" fillId="0" borderId="1" xfId="0" applyFont="1" applyBorder="1"/>
    <xf numFmtId="0" fontId="24" fillId="34" borderId="0" xfId="50"/>
    <xf numFmtId="2" fontId="24" fillId="38" borderId="0" xfId="51"/>
    <xf numFmtId="2" fontId="24" fillId="39" borderId="0" xfId="52"/>
    <xf numFmtId="0" fontId="0" fillId="0" borderId="1" xfId="0" applyBorder="1"/>
    <xf numFmtId="0" fontId="26" fillId="35" borderId="0" xfId="1" applyFont="1" applyFill="1"/>
    <xf numFmtId="0" fontId="28" fillId="37" borderId="0" xfId="0" applyFont="1" applyFill="1"/>
    <xf numFmtId="0" fontId="29" fillId="37" borderId="0" xfId="0" applyFont="1" applyFill="1"/>
    <xf numFmtId="2" fontId="24" fillId="40" borderId="0" xfId="53"/>
    <xf numFmtId="0" fontId="28" fillId="36" borderId="0" xfId="49"/>
    <xf numFmtId="0" fontId="28" fillId="36" borderId="0" xfId="49" applyAlignment="1">
      <alignment wrapText="1"/>
    </xf>
    <xf numFmtId="0" fontId="0" fillId="34" borderId="0" xfId="50" applyFont="1"/>
    <xf numFmtId="10" fontId="24" fillId="40" borderId="0" xfId="53" applyNumberFormat="1"/>
    <xf numFmtId="168" fontId="24" fillId="39" borderId="0" xfId="52" applyNumberFormat="1"/>
    <xf numFmtId="0" fontId="26" fillId="35" borderId="0" xfId="1" applyFont="1"/>
    <xf numFmtId="0" fontId="28" fillId="37" borderId="0" xfId="48"/>
    <xf numFmtId="168" fontId="24" fillId="38" borderId="0" xfId="51" applyNumberFormat="1"/>
    <xf numFmtId="168" fontId="24" fillId="39" borderId="5" xfId="52" applyNumberFormat="1" applyBorder="1"/>
    <xf numFmtId="168" fontId="24" fillId="39" borderId="6" xfId="52" applyNumberFormat="1" applyBorder="1"/>
    <xf numFmtId="168" fontId="24" fillId="39" borderId="22" xfId="52" applyNumberFormat="1" applyBorder="1"/>
    <xf numFmtId="168" fontId="24" fillId="39" borderId="10" xfId="52" applyNumberFormat="1" applyBorder="1"/>
    <xf numFmtId="168" fontId="24" fillId="39" borderId="11" xfId="52" applyNumberFormat="1" applyBorder="1"/>
    <xf numFmtId="1" fontId="24" fillId="38" borderId="0" xfId="51" applyNumberFormat="1"/>
    <xf numFmtId="9" fontId="24" fillId="38" borderId="0" xfId="51" applyNumberFormat="1"/>
    <xf numFmtId="168" fontId="24" fillId="38" borderId="0" xfId="51" applyNumberFormat="1" applyAlignment="1">
      <alignment horizontal="center"/>
    </xf>
    <xf numFmtId="2" fontId="24" fillId="38" borderId="0" xfId="51" applyAlignment="1">
      <alignment horizontal="center"/>
    </xf>
    <xf numFmtId="0" fontId="3" fillId="0" borderId="0" xfId="55" applyFont="1"/>
    <xf numFmtId="0" fontId="31" fillId="34" borderId="6" xfId="55" applyFont="1" applyFill="1" applyBorder="1" applyAlignment="1">
      <alignment vertical="center"/>
    </xf>
    <xf numFmtId="0" fontId="34" fillId="42" borderId="1" xfId="55" applyFont="1" applyFill="1" applyBorder="1"/>
    <xf numFmtId="0" fontId="33" fillId="0" borderId="1" xfId="55" applyFont="1" applyBorder="1"/>
    <xf numFmtId="0" fontId="3" fillId="34" borderId="0" xfId="58" applyNumberFormat="1" applyFont="1" applyBorder="1" applyAlignment="1"/>
    <xf numFmtId="0" fontId="3" fillId="34" borderId="5" xfId="58" applyNumberFormat="1" applyFont="1" applyBorder="1" applyAlignment="1"/>
    <xf numFmtId="0" fontId="30" fillId="34" borderId="6" xfId="58" applyNumberFormat="1" applyFont="1" applyBorder="1" applyAlignment="1"/>
    <xf numFmtId="0" fontId="30" fillId="34" borderId="23" xfId="58" applyNumberFormat="1" applyFont="1" applyBorder="1" applyAlignment="1"/>
    <xf numFmtId="0" fontId="3" fillId="34" borderId="7" xfId="58" applyNumberFormat="1" applyFont="1" applyBorder="1" applyAlignment="1"/>
    <xf numFmtId="0" fontId="3" fillId="34" borderId="22" xfId="58" applyNumberFormat="1" applyFont="1" applyBorder="1" applyAlignment="1"/>
    <xf numFmtId="0" fontId="33" fillId="34" borderId="0" xfId="58" applyNumberFormat="1" applyFont="1" applyBorder="1" applyAlignment="1"/>
    <xf numFmtId="11" fontId="33" fillId="0" borderId="1" xfId="55" applyNumberFormat="1" applyFont="1" applyBorder="1"/>
    <xf numFmtId="171" fontId="33" fillId="0" borderId="1" xfId="55" applyNumberFormat="1" applyFont="1" applyBorder="1"/>
    <xf numFmtId="172" fontId="33" fillId="0" borderId="1" xfId="55" applyNumberFormat="1" applyFont="1" applyBorder="1"/>
    <xf numFmtId="0" fontId="3" fillId="34" borderId="8" xfId="58" applyNumberFormat="1" applyFont="1" applyBorder="1" applyAlignment="1"/>
    <xf numFmtId="0" fontId="3" fillId="34" borderId="9" xfId="58" applyNumberFormat="1" applyFont="1" applyBorder="1" applyAlignment="1"/>
    <xf numFmtId="0" fontId="3" fillId="34" borderId="24" xfId="58" applyNumberFormat="1" applyFont="1" applyBorder="1" applyAlignment="1"/>
    <xf numFmtId="11" fontId="3" fillId="0" borderId="0" xfId="55" applyNumberFormat="1" applyFont="1"/>
    <xf numFmtId="0" fontId="0" fillId="0" borderId="24" xfId="0" applyBorder="1"/>
    <xf numFmtId="2" fontId="24" fillId="39" borderId="2" xfId="52" applyBorder="1"/>
    <xf numFmtId="2" fontId="24" fillId="39" borderId="3" xfId="52" applyBorder="1"/>
    <xf numFmtId="11" fontId="28" fillId="36" borderId="5" xfId="49" applyNumberFormat="1" applyBorder="1"/>
    <xf numFmtId="11" fontId="28" fillId="36" borderId="6" xfId="49" applyNumberFormat="1" applyBorder="1"/>
    <xf numFmtId="11" fontId="28" fillId="36" borderId="23" xfId="49" applyNumberFormat="1" applyBorder="1"/>
    <xf numFmtId="11" fontId="3" fillId="0" borderId="8" xfId="55" applyNumberFormat="1" applyFont="1" applyBorder="1"/>
    <xf numFmtId="11" fontId="3" fillId="0" borderId="9" xfId="55" applyNumberFormat="1" applyFont="1" applyBorder="1"/>
    <xf numFmtId="11" fontId="3" fillId="0" borderId="24" xfId="55" applyNumberFormat="1" applyFont="1" applyBorder="1"/>
    <xf numFmtId="2" fontId="24" fillId="39" borderId="5" xfId="52" applyBorder="1"/>
    <xf numFmtId="2" fontId="24" fillId="39" borderId="6" xfId="52" applyBorder="1"/>
    <xf numFmtId="2" fontId="24" fillId="39" borderId="23" xfId="52" applyBorder="1"/>
    <xf numFmtId="2" fontId="24" fillId="39" borderId="7" xfId="52" applyBorder="1"/>
    <xf numFmtId="2" fontId="24" fillId="39" borderId="0" xfId="52" applyBorder="1"/>
    <xf numFmtId="2" fontId="24" fillId="39" borderId="22" xfId="52" applyBorder="1"/>
    <xf numFmtId="2" fontId="24" fillId="39" borderId="8" xfId="52" applyBorder="1"/>
    <xf numFmtId="2" fontId="24" fillId="39" borderId="9" xfId="52" applyBorder="1"/>
    <xf numFmtId="2" fontId="24" fillId="39" borderId="24" xfId="52" applyBorder="1"/>
    <xf numFmtId="2" fontId="24" fillId="39" borderId="4" xfId="52" applyBorder="1"/>
    <xf numFmtId="0" fontId="3" fillId="0" borderId="0" xfId="58" applyNumberFormat="1" applyFont="1" applyFill="1" applyBorder="1" applyAlignment="1"/>
    <xf numFmtId="0" fontId="0" fillId="0" borderId="0" xfId="0" applyBorder="1"/>
    <xf numFmtId="17" fontId="24" fillId="34" borderId="0" xfId="50" applyNumberFormat="1"/>
    <xf numFmtId="168" fontId="24" fillId="39" borderId="23" xfId="52" applyNumberFormat="1" applyBorder="1"/>
    <xf numFmtId="168" fontId="24" fillId="39" borderId="7" xfId="52" applyNumberFormat="1" applyBorder="1"/>
    <xf numFmtId="168" fontId="24" fillId="39" borderId="8" xfId="52" applyNumberFormat="1" applyBorder="1"/>
    <xf numFmtId="168" fontId="24" fillId="39" borderId="24" xfId="52" applyNumberFormat="1" applyBorder="1"/>
    <xf numFmtId="168" fontId="24" fillId="39" borderId="2" xfId="52" applyNumberFormat="1" applyBorder="1"/>
    <xf numFmtId="168" fontId="24" fillId="39" borderId="3" xfId="52" applyNumberFormat="1" applyBorder="1"/>
    <xf numFmtId="168" fontId="24" fillId="39" borderId="4" xfId="52" applyNumberFormat="1" applyBorder="1"/>
    <xf numFmtId="168" fontId="24" fillId="39" borderId="0" xfId="52" applyNumberFormat="1" applyBorder="1"/>
    <xf numFmtId="168" fontId="24" fillId="39" borderId="9" xfId="52" applyNumberFormat="1" applyBorder="1"/>
    <xf numFmtId="0" fontId="0" fillId="0" borderId="5" xfId="0" applyBorder="1"/>
    <xf numFmtId="0" fontId="0" fillId="0" borderId="6" xfId="0" applyBorder="1"/>
    <xf numFmtId="0" fontId="0" fillId="0" borderId="23" xfId="0" applyBorder="1"/>
    <xf numFmtId="0" fontId="36" fillId="0" borderId="7" xfId="59" applyBorder="1"/>
    <xf numFmtId="0" fontId="0" fillId="0" borderId="22" xfId="0" applyBorder="1"/>
    <xf numFmtId="0" fontId="0" fillId="0" borderId="8" xfId="0" applyBorder="1"/>
    <xf numFmtId="0" fontId="0" fillId="0" borderId="9" xfId="0" applyBorder="1"/>
    <xf numFmtId="6" fontId="24" fillId="38" borderId="0" xfId="51" applyNumberFormat="1"/>
    <xf numFmtId="8" fontId="24" fillId="39" borderId="0" xfId="52" applyNumberFormat="1"/>
    <xf numFmtId="6" fontId="24" fillId="39" borderId="0" xfId="52" applyNumberFormat="1"/>
    <xf numFmtId="0" fontId="41" fillId="0" borderId="0" xfId="68" applyFont="1" applyFill="1"/>
    <xf numFmtId="0" fontId="40" fillId="0" borderId="0" xfId="68" applyFont="1" applyFill="1" applyAlignment="1">
      <alignment horizontal="left" vertical="center"/>
    </xf>
    <xf numFmtId="0" fontId="24" fillId="34" borderId="0" xfId="50" quotePrefix="1"/>
    <xf numFmtId="168" fontId="24" fillId="39" borderId="12" xfId="52" applyNumberFormat="1" applyBorder="1"/>
    <xf numFmtId="2" fontId="24" fillId="39" borderId="1" xfId="52" applyBorder="1"/>
    <xf numFmtId="0" fontId="0" fillId="0" borderId="7" xfId="0" applyBorder="1"/>
    <xf numFmtId="8" fontId="24" fillId="39" borderId="2" xfId="52" applyNumberFormat="1" applyBorder="1"/>
    <xf numFmtId="8" fontId="24" fillId="39" borderId="3" xfId="52" applyNumberFormat="1" applyBorder="1"/>
    <xf numFmtId="8" fontId="24" fillId="39" borderId="4" xfId="52" applyNumberFormat="1" applyBorder="1"/>
    <xf numFmtId="9" fontId="24" fillId="39" borderId="0" xfId="52" applyNumberFormat="1"/>
    <xf numFmtId="168" fontId="24" fillId="39" borderId="1" xfId="52" applyNumberFormat="1" applyBorder="1"/>
    <xf numFmtId="173" fontId="24" fillId="39" borderId="2" xfId="52" applyNumberFormat="1" applyBorder="1"/>
    <xf numFmtId="173" fontId="24" fillId="39" borderId="3" xfId="52" applyNumberFormat="1" applyBorder="1"/>
    <xf numFmtId="173" fontId="24" fillId="39" borderId="4" xfId="52" applyNumberFormat="1" applyBorder="1"/>
    <xf numFmtId="173" fontId="24" fillId="39" borderId="0" xfId="52" applyNumberFormat="1"/>
    <xf numFmtId="169" fontId="24" fillId="38" borderId="0" xfId="51" applyNumberFormat="1"/>
    <xf numFmtId="2" fontId="24" fillId="41" borderId="0" xfId="54"/>
    <xf numFmtId="168" fontId="24" fillId="40" borderId="0" xfId="53" applyNumberFormat="1"/>
    <xf numFmtId="0" fontId="42" fillId="34" borderId="0" xfId="50" applyFont="1"/>
    <xf numFmtId="168" fontId="24" fillId="41" borderId="0" xfId="54" applyNumberFormat="1"/>
    <xf numFmtId="168" fontId="42" fillId="41" borderId="0" xfId="54" applyNumberFormat="1" applyFont="1"/>
    <xf numFmtId="2" fontId="42" fillId="41" borderId="0" xfId="54" applyFont="1"/>
    <xf numFmtId="0" fontId="28" fillId="36" borderId="5" xfId="49" applyBorder="1"/>
    <xf numFmtId="0" fontId="28" fillId="36" borderId="23" xfId="49" applyBorder="1"/>
    <xf numFmtId="0" fontId="24" fillId="34" borderId="0" xfId="50" applyAlignment="1">
      <alignment wrapText="1"/>
    </xf>
    <xf numFmtId="174" fontId="24" fillId="39" borderId="5" xfId="52" applyNumberFormat="1" applyBorder="1"/>
    <xf numFmtId="174" fontId="24" fillId="39" borderId="6" xfId="52" applyNumberFormat="1" applyBorder="1"/>
    <xf numFmtId="174" fontId="24" fillId="39" borderId="23" xfId="52" applyNumberFormat="1" applyBorder="1"/>
    <xf numFmtId="174" fontId="24" fillId="39" borderId="7" xfId="52" applyNumberFormat="1" applyBorder="1"/>
    <xf numFmtId="174" fontId="24" fillId="39" borderId="0" xfId="52" applyNumberFormat="1" applyBorder="1"/>
    <xf numFmtId="174" fontId="24" fillId="39" borderId="22" xfId="52" applyNumberFormat="1" applyBorder="1"/>
    <xf numFmtId="174" fontId="24" fillId="39" borderId="8" xfId="52" applyNumberFormat="1" applyBorder="1"/>
    <xf numFmtId="174" fontId="24" fillId="39" borderId="9" xfId="52" applyNumberFormat="1" applyBorder="1"/>
    <xf numFmtId="174" fontId="24" fillId="39" borderId="24" xfId="52" applyNumberFormat="1" applyBorder="1"/>
    <xf numFmtId="168" fontId="24" fillId="39" borderId="2" xfId="52" applyNumberFormat="1" applyBorder="1" applyAlignment="1">
      <alignment horizontal="center"/>
    </xf>
    <xf numFmtId="168" fontId="24" fillId="39" borderId="3" xfId="52" applyNumberFormat="1" applyBorder="1" applyAlignment="1">
      <alignment horizontal="center"/>
    </xf>
    <xf numFmtId="168" fontId="24" fillId="39" borderId="4" xfId="52" applyNumberFormat="1" applyBorder="1" applyAlignment="1">
      <alignment horizontal="center"/>
    </xf>
    <xf numFmtId="168" fontId="0" fillId="0" borderId="0" xfId="0" applyNumberFormat="1"/>
    <xf numFmtId="0" fontId="5" fillId="0" borderId="0" xfId="0" applyFont="1" applyBorder="1" applyAlignment="1">
      <alignment vertical="center"/>
    </xf>
    <xf numFmtId="0" fontId="4" fillId="2" borderId="0" xfId="0" applyFont="1" applyFill="1" applyBorder="1" applyAlignment="1">
      <alignment horizontal="center" vertical="center" wrapText="1"/>
    </xf>
    <xf numFmtId="0" fontId="3" fillId="2" borderId="0" xfId="0" applyFont="1" applyFill="1" applyBorder="1"/>
    <xf numFmtId="0" fontId="3" fillId="0" borderId="0" xfId="0" applyFont="1" applyBorder="1"/>
    <xf numFmtId="0" fontId="28" fillId="45" borderId="0" xfId="0" applyFont="1" applyFill="1" applyBorder="1" applyAlignment="1">
      <alignment horizontal="left" vertical="center" indent="1"/>
    </xf>
    <xf numFmtId="0" fontId="28" fillId="46" borderId="0" xfId="0" applyFont="1" applyFill="1" applyBorder="1" applyAlignment="1">
      <alignment horizontal="left" vertical="center" indent="1"/>
    </xf>
    <xf numFmtId="0" fontId="3" fillId="46" borderId="0" xfId="0" applyFont="1" applyFill="1" applyBorder="1" applyAlignment="1">
      <alignment horizontal="left" vertical="center" indent="1"/>
    </xf>
    <xf numFmtId="0" fontId="28" fillId="46" borderId="0" xfId="0" applyFont="1" applyFill="1" applyBorder="1" applyAlignment="1">
      <alignment horizontal="left" vertical="top" indent="1"/>
    </xf>
    <xf numFmtId="0" fontId="36" fillId="44" borderId="0" xfId="59" applyFill="1" applyBorder="1" applyAlignment="1">
      <alignment horizontal="left" vertical="center"/>
    </xf>
    <xf numFmtId="0" fontId="3" fillId="44" borderId="0" xfId="0" applyFont="1" applyFill="1" applyBorder="1" applyAlignment="1">
      <alignment horizontal="left" vertical="top" wrapText="1"/>
    </xf>
    <xf numFmtId="49" fontId="25" fillId="43" borderId="0" xfId="0" applyNumberFormat="1" applyFont="1" applyFill="1" applyBorder="1" applyAlignment="1">
      <alignment horizontal="left" vertical="center"/>
    </xf>
    <xf numFmtId="0" fontId="25" fillId="43" borderId="0" xfId="0" applyFont="1" applyFill="1" applyBorder="1" applyAlignment="1">
      <alignment horizontal="left" vertical="center"/>
    </xf>
    <xf numFmtId="0" fontId="43" fillId="43" borderId="0" xfId="0" applyFont="1" applyFill="1" applyBorder="1" applyAlignment="1">
      <alignment horizontal="left" vertical="center"/>
    </xf>
    <xf numFmtId="0" fontId="0" fillId="43" borderId="0" xfId="0" applyFont="1" applyFill="1" applyBorder="1" applyAlignment="1">
      <alignment horizontal="left" vertical="center" wrapText="1"/>
    </xf>
    <xf numFmtId="0" fontId="0" fillId="43" borderId="0" xfId="0" applyFont="1" applyFill="1" applyBorder="1" applyAlignment="1">
      <alignment horizontal="left" vertical="center"/>
    </xf>
    <xf numFmtId="0" fontId="28" fillId="36" borderId="0" xfId="49" applyAlignment="1">
      <alignment horizontal="center"/>
    </xf>
  </cellXfs>
  <cellStyles count="99">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d" xfId="13" builtinId="27" hidden="1"/>
    <cellStyle name="Calculation" xfId="17" builtinId="22" hidden="1"/>
    <cellStyle name="Calculation Cell" xfId="52" xr:uid="{00000000-0005-0000-0000-00001A000000}"/>
    <cellStyle name="Check Cell" xfId="19" builtinId="23" hidden="1"/>
    <cellStyle name="Comma" xfId="2" builtinId="3" hidden="1"/>
    <cellStyle name="Comma [0]" xfId="3" builtinId="6" hidden="1"/>
    <cellStyle name="Comma 2" xfId="56" xr:uid="{918CC3E0-0213-4A01-A0C9-5A3F64941F9B}"/>
    <cellStyle name="Comma 2 2" xfId="91" xr:uid="{BFB8F6C4-8665-4A5F-81F7-40FC7B2F69F8}"/>
    <cellStyle name="Comma 3" xfId="61" xr:uid="{EE3507AE-430A-4E07-977A-59CE4B27EF60}"/>
    <cellStyle name="Currency" xfId="4" builtinId="4" hidden="1"/>
    <cellStyle name="Currency [0]" xfId="5" builtinId="7" hidden="1"/>
    <cellStyle name="Explanatory Text" xfId="22" builtinId="53" hidden="1"/>
    <cellStyle name="Fill" xfId="58" xr:uid="{57D18806-82DF-4E12-853E-2DEFAD137EEB}"/>
    <cellStyle name="Good" xfId="12" builtinId="26" hidden="1"/>
    <cellStyle name="Header 1" xfId="1" xr:uid="{00000000-0005-0000-0000-000022000000}"/>
    <cellStyle name="Header 2" xfId="48" xr:uid="{00000000-0005-0000-0000-000023000000}"/>
    <cellStyle name="Heading 1" xfId="8" builtinId="16" hidden="1"/>
    <cellStyle name="Heading 2" xfId="9" builtinId="17" hidden="1"/>
    <cellStyle name="Heading 3" xfId="10" builtinId="18" hidden="1"/>
    <cellStyle name="Heading 4" xfId="11" builtinId="19" hidden="1"/>
    <cellStyle name="Hyperlink" xfId="59" builtinId="8"/>
    <cellStyle name="Hyperlink 2" xfId="63" xr:uid="{A29D1DBE-48CA-44B6-AB54-59CA8A59DAAD}"/>
    <cellStyle name="Hyperlink 2 2" xfId="98" xr:uid="{E38722DF-2797-4D98-8AA2-6E0181DB7862}"/>
    <cellStyle name="Hyperlink 3" xfId="65" xr:uid="{F9D3AB84-5C0F-4655-9497-AD1D8FF264C2}"/>
    <cellStyle name="Input" xfId="15" builtinId="20" hidden="1"/>
    <cellStyle name="Input Cell" xfId="51" xr:uid="{00000000-0005-0000-0000-000029000000}"/>
    <cellStyle name="Linked Cell" xfId="18" builtinId="24" hidden="1"/>
    <cellStyle name="Neutral" xfId="14" builtinId="28" hidden="1"/>
    <cellStyle name="Normal" xfId="0" builtinId="0" customBuiltin="1"/>
    <cellStyle name="Normal 10" xfId="57" xr:uid="{9FB094F8-1AD4-4313-96AF-91E95FA679B7}"/>
    <cellStyle name="Normal 10 2" xfId="76" xr:uid="{675D49DF-1D22-45F9-ACC1-98DBD29370FE}"/>
    <cellStyle name="Normal 11" xfId="77" xr:uid="{B01DDA25-FD38-4CA1-9886-5F8DBDCE3131}"/>
    <cellStyle name="Normal 12" xfId="78" xr:uid="{D0DB1E6E-FFF9-4FFC-812A-5757454C70E3}"/>
    <cellStyle name="Normal 13" xfId="64" xr:uid="{F1CB0C3E-5E1D-4F32-A05A-C87AA9FE3BF9}"/>
    <cellStyle name="Normal 17 6 6" xfId="95" xr:uid="{F9DCB228-CCDD-4B63-B1CF-65656EEF2DA5}"/>
    <cellStyle name="Normal 17 7 2 2" xfId="93" xr:uid="{C3B4A352-D920-451E-8EBA-D6296AF856DB}"/>
    <cellStyle name="Normal 18 3" xfId="94" xr:uid="{6447B8F4-A0DE-4E0B-8644-32DEA2B609A6}"/>
    <cellStyle name="Normal 2" xfId="55" xr:uid="{A5C0C950-CEDB-46D0-AB93-C8B5FB236BE5}"/>
    <cellStyle name="Normal 2 2" xfId="69" xr:uid="{A33367C4-FF48-40DE-A727-3CA80814F04B}"/>
    <cellStyle name="Normal 2 3" xfId="81" xr:uid="{4CD1B827-EC94-475B-A5E8-45AA3893BF7D}"/>
    <cellStyle name="Normal 2 4" xfId="88" xr:uid="{BE5685D4-1C98-4412-8E79-019828BA5AE5}"/>
    <cellStyle name="Normal 2 5" xfId="96" xr:uid="{039B8366-A0CE-41F3-894D-9867EE590316}"/>
    <cellStyle name="Normal 2 6" xfId="66" xr:uid="{248A78C1-94DA-4A79-9C25-4D43267EEF4D}"/>
    <cellStyle name="Normal 2 7" xfId="97" xr:uid="{8083C5ED-4DB8-46AB-A43D-8A11BD30FC1C}"/>
    <cellStyle name="Normal 29" xfId="92" xr:uid="{6D4228B5-40A2-4072-9DD0-57EBAB5C0B21}"/>
    <cellStyle name="Normal 3" xfId="60" xr:uid="{C23E39CF-E656-4A0C-AD54-BBC885A7AD32}"/>
    <cellStyle name="Normal 3 2" xfId="70" xr:uid="{6AFFE774-02E6-4C61-AA7B-2076D83B6517}"/>
    <cellStyle name="Normal 3 3" xfId="82" xr:uid="{2668885E-D8E9-475A-A22F-631441179EFD}"/>
    <cellStyle name="Normal 3 4" xfId="89" xr:uid="{7E7D31C3-7CAB-4569-B922-6F391EC964E8}"/>
    <cellStyle name="Normal 4" xfId="67" xr:uid="{69FA0EB4-1710-4C4B-8F74-CCBA8BBDFE54}"/>
    <cellStyle name="Normal 4 2" xfId="71" xr:uid="{1B8C4D66-AABA-4565-AABE-0BE882E828A8}"/>
    <cellStyle name="Normal 4 3" xfId="80" xr:uid="{FA16B069-73E0-4902-BF73-813EDE68F56B}"/>
    <cellStyle name="Normal 4 3 2" xfId="86" xr:uid="{EEEA8235-FF6E-46B0-879E-02B76E39AD07}"/>
    <cellStyle name="Normal 4 4" xfId="84" xr:uid="{FE8417EC-ACB0-48B5-962A-B692500C9BE8}"/>
    <cellStyle name="Normal 5" xfId="68" xr:uid="{B51E94E5-70D3-4C84-AC0B-E51547993857}"/>
    <cellStyle name="Normal 6" xfId="72" xr:uid="{A95CEC7B-5423-431D-BCFA-09C6FAC89A85}"/>
    <cellStyle name="Normal 6 2" xfId="83" xr:uid="{5947AAAC-BB97-4436-8260-57157A025797}"/>
    <cellStyle name="Normal 6 3" xfId="90" xr:uid="{389682D7-DB66-4C25-A4A6-46861F7EBB3D}"/>
    <cellStyle name="Normal 7" xfId="73" xr:uid="{06C2B7A6-3E77-4E32-938E-24FFD4CCB040}"/>
    <cellStyle name="Normal 8" xfId="74" xr:uid="{54D9947C-E5ED-4B58-A6B2-6784FD01ADCC}"/>
    <cellStyle name="Normal 8 2" xfId="79" xr:uid="{EE355D3B-92D2-46B5-8FB6-014BAADDD811}"/>
    <cellStyle name="Normal 8 2 2" xfId="85" xr:uid="{9573BB2A-6E2C-4855-92EE-EC68D796E549}"/>
    <cellStyle name="Normal 9" xfId="75" xr:uid="{91DE872C-4C82-4F34-B94B-DA234A630C6B}"/>
    <cellStyle name="Note" xfId="21" builtinId="10" hidden="1"/>
    <cellStyle name="Output" xfId="16" builtinId="21" hidden="1"/>
    <cellStyle name="Output Cell" xfId="54" xr:uid="{00000000-0005-0000-0000-00002F000000}"/>
    <cellStyle name="Parameter Cell" xfId="53" xr:uid="{00000000-0005-0000-0000-000030000000}"/>
    <cellStyle name="Percent" xfId="6" builtinId="5" hidden="1"/>
    <cellStyle name="Percent 2" xfId="62" xr:uid="{FEAE680B-4013-48F8-94AF-3BAFB5805EBE}"/>
    <cellStyle name="Percent 2 2" xfId="87" xr:uid="{52268DE3-239A-49DC-8768-DE6C5A214762}"/>
    <cellStyle name="Table Header" xfId="49" xr:uid="{00000000-0005-0000-0000-000032000000}"/>
    <cellStyle name="Table Row Name" xfId="50" xr:uid="{00000000-0005-0000-0000-000033000000}"/>
    <cellStyle name="Title" xfId="7" builtinId="15" hidden="1"/>
    <cellStyle name="Total" xfId="23" builtinId="25" hidden="1"/>
    <cellStyle name="Warning Text" xfId="20" builtinId="11" hidden="1"/>
  </cellStyles>
  <dxfs count="6">
    <dxf>
      <numFmt numFmtId="10" formatCode="&quot;$&quot;#,##0;[Red]\-&quot;$&quot;#,##0"/>
    </dxf>
    <dxf>
      <numFmt numFmtId="10" formatCode="&quot;$&quot;#,##0;[Red]\-&quot;$&quot;#,##0"/>
    </dxf>
    <dxf>
      <numFmt numFmtId="10" formatCode="&quot;$&quot;#,##0;[Red]\-&quot;$&quot;#,##0"/>
    </dxf>
    <dxf>
      <numFmt numFmtId="10" formatCode="&quot;$&quot;#,##0;[Red]\-&quot;$&quot;#,##0"/>
    </dxf>
    <dxf>
      <numFmt numFmtId="10" formatCode="&quot;$&quot;#,##0;[Red]\-&quot;$&quot;#,##0"/>
    </dxf>
    <dxf>
      <numFmt numFmtId="10" formatCode="&quot;$&quot;#,##0;[Red]\-&quot;$&quot;#,##0"/>
    </dxf>
  </dxfs>
  <tableStyles count="0" defaultTableStyle="TableStyleMedium2" defaultPivotStyle="PivotStyleLight16"/>
  <colors>
    <mruColors>
      <color rgb="FF01374F"/>
      <color rgb="FF004650"/>
      <color rgb="FF008698"/>
      <color rgb="FF99FFCC"/>
      <color rgb="FF9ECCA6"/>
      <color rgb="FF9EC0DB"/>
      <color rgb="FFE0D4A4"/>
      <color rgb="FF262D33"/>
      <color rgb="FF696A6D"/>
      <color rgb="FFD9DA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0</xdr:row>
      <xdr:rowOff>165100</xdr:rowOff>
    </xdr:from>
    <xdr:to>
      <xdr:col>4</xdr:col>
      <xdr:colOff>0</xdr:colOff>
      <xdr:row>2</xdr:row>
      <xdr:rowOff>19050</xdr:rowOff>
    </xdr:to>
    <xdr:pic>
      <xdr:nvPicPr>
        <xdr:cNvPr id="3" name="Picture 2">
          <a:extLst>
            <a:ext uri="{FF2B5EF4-FFF2-40B4-BE49-F238E27FC236}">
              <a16:creationId xmlns:a16="http://schemas.microsoft.com/office/drawing/2014/main" id="{5E19977A-CCCA-4929-903F-74D2007B4D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74700" y="165100"/>
          <a:ext cx="7620000" cy="5238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oustonKemp\ID2\32C9152D-9D5D-47CF-9748-06E40A752942\0\64000-64999\64786\L\L\NHVR%20HVPP%20CBA_30%20May%202020%20(ID%2064786).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ylan.frangos\Downloads\PAYGO-model-version-2.3%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Overall -&gt;"/>
      <sheetName val="Results"/>
      <sheetName val="Assumptions and definitions"/>
      <sheetName val="Fleet mix"/>
      <sheetName val="Theme 1 -&gt;"/>
      <sheetName val="T1 Inputs"/>
      <sheetName val="T1 Calculations"/>
      <sheetName val="Theme 2 -&gt;"/>
      <sheetName val="T2 Inputs"/>
      <sheetName val="T2 Calculations"/>
      <sheetName val="T2 Cost summaries"/>
      <sheetName val="T2 Vehicle and network"/>
      <sheetName val="T2 Non-fuel cost"/>
      <sheetName val="T2 Fuel cost"/>
      <sheetName val="Safety"/>
      <sheetName val="Theme 3 -&gt;"/>
      <sheetName val="T3 Inputs"/>
      <sheetName val="T3 Calculations"/>
      <sheetName val="Theme3 Vehicle Turnaround Data"/>
      <sheetName val="Theme 3 - Permit Refusals"/>
      <sheetName val="Theme 4 -&gt;"/>
      <sheetName val="T4 Inputs"/>
      <sheetName val="Theme 5-&gt;"/>
      <sheetName val="T5 inputs"/>
      <sheetName val="T5 Calculations"/>
      <sheetName val="T5 Cost summaries"/>
      <sheetName val="T5 Vehicle and network"/>
      <sheetName val="T5 Non-fuel cost"/>
      <sheetName val="T5 Fuel cost"/>
      <sheetName val="Raw data -&gt;"/>
      <sheetName val="ABS SMVU"/>
      <sheetName val="BITRE data"/>
      <sheetName val="ATAP data"/>
      <sheetName val="NTC PAYGO"/>
      <sheetName val="Jurisdiction registration data"/>
    </sheetNames>
    <sheetDataSet>
      <sheetData sheetId="0" refreshError="1"/>
      <sheetData sheetId="1" refreshError="1"/>
      <sheetData sheetId="2" refreshError="1"/>
      <sheetData sheetId="3">
        <row r="7">
          <cell r="C7">
            <v>7.0000000000000007E-2</v>
          </cell>
        </row>
        <row r="8">
          <cell r="C8">
            <v>2020</v>
          </cell>
        </row>
        <row r="9">
          <cell r="O9" t="str">
            <v>NSW</v>
          </cell>
          <cell r="P9" t="str">
            <v>WA</v>
          </cell>
        </row>
        <row r="10">
          <cell r="O10" t="str">
            <v>VIC</v>
          </cell>
          <cell r="P10" t="str">
            <v>NT</v>
          </cell>
        </row>
        <row r="11">
          <cell r="O11" t="str">
            <v>QLD</v>
          </cell>
        </row>
        <row r="12">
          <cell r="O12" t="str">
            <v>SA</v>
          </cell>
        </row>
        <row r="13">
          <cell r="O13" t="str">
            <v>TAS</v>
          </cell>
        </row>
        <row r="14">
          <cell r="O14" t="str">
            <v>ACT</v>
          </cell>
        </row>
      </sheetData>
      <sheetData sheetId="4">
        <row r="8">
          <cell r="B8" t="str">
            <v>Vehicle type</v>
          </cell>
        </row>
        <row r="9">
          <cell r="B9" t="str">
            <v>Bus</v>
          </cell>
          <cell r="C9">
            <v>1478</v>
          </cell>
          <cell r="D9">
            <v>1558</v>
          </cell>
          <cell r="E9">
            <v>1664</v>
          </cell>
          <cell r="F9">
            <v>1566</v>
          </cell>
          <cell r="G9">
            <v>1638</v>
          </cell>
          <cell r="H9">
            <v>1693</v>
          </cell>
          <cell r="I9">
            <v>1687.1904761904761</v>
          </cell>
          <cell r="J9">
            <v>1755.7698412698417</v>
          </cell>
          <cell r="K9">
            <v>1675.5714285714287</v>
          </cell>
          <cell r="L9">
            <v>1892.9285714285713</v>
          </cell>
          <cell r="M9">
            <v>2110.2857142857142</v>
          </cell>
          <cell r="N9">
            <v>1991.1428571428571</v>
          </cell>
          <cell r="O9">
            <v>1872</v>
          </cell>
          <cell r="P9">
            <v>1978.5</v>
          </cell>
          <cell r="Q9">
            <v>2085</v>
          </cell>
          <cell r="R9">
            <v>2129.3223692117958</v>
          </cell>
          <cell r="S9">
            <v>2175.318664579921</v>
          </cell>
          <cell r="T9">
            <v>2241.3434430379466</v>
          </cell>
          <cell r="U9">
            <v>2300.4043986680185</v>
          </cell>
          <cell r="V9">
            <v>2288.660428389052</v>
          </cell>
          <cell r="W9">
            <v>2273.6025458441086</v>
          </cell>
          <cell r="X9">
            <v>2408.6035318671438</v>
          </cell>
          <cell r="Y9">
            <v>2467.6644874972158</v>
          </cell>
          <cell r="Z9">
            <v>2455.9205172182492</v>
          </cell>
          <cell r="AA9">
            <v>2440.8626346733058</v>
          </cell>
          <cell r="AB9">
            <v>2575.8636206963411</v>
          </cell>
          <cell r="AC9">
            <v>2634.924576326413</v>
          </cell>
          <cell r="AD9">
            <v>2623.1806060474464</v>
          </cell>
          <cell r="AE9">
            <v>2608.122723502503</v>
          </cell>
          <cell r="AF9">
            <v>2743.1237095255383</v>
          </cell>
          <cell r="AG9">
            <v>2802.1846651556102</v>
          </cell>
          <cell r="AH9">
            <v>2790.4406948766436</v>
          </cell>
          <cell r="AI9">
            <v>2775.3828123317003</v>
          </cell>
          <cell r="AJ9">
            <v>2910.3837983547355</v>
          </cell>
          <cell r="AK9">
            <v>2969.4447539848074</v>
          </cell>
          <cell r="AL9">
            <v>2957.7007837058409</v>
          </cell>
          <cell r="AM9">
            <v>2942.6429011608975</v>
          </cell>
          <cell r="AN9">
            <v>3077.6438871839327</v>
          </cell>
        </row>
        <row r="10">
          <cell r="B10" t="str">
            <v>Heavy rigid truck</v>
          </cell>
          <cell r="C10">
            <v>6260</v>
          </cell>
          <cell r="D10">
            <v>6913</v>
          </cell>
          <cell r="E10">
            <v>6754</v>
          </cell>
          <cell r="F10">
            <v>6905</v>
          </cell>
          <cell r="G10">
            <v>6990</v>
          </cell>
          <cell r="H10">
            <v>7496</v>
          </cell>
          <cell r="I10">
            <v>7558.9999999999991</v>
          </cell>
          <cell r="J10">
            <v>7640.666666666667</v>
          </cell>
          <cell r="K10">
            <v>7685</v>
          </cell>
          <cell r="L10">
            <v>7804</v>
          </cell>
          <cell r="M10">
            <v>7923</v>
          </cell>
          <cell r="N10">
            <v>8039.5</v>
          </cell>
          <cell r="O10">
            <v>8156</v>
          </cell>
          <cell r="P10">
            <v>8535.5</v>
          </cell>
          <cell r="Q10">
            <v>8915</v>
          </cell>
          <cell r="R10">
            <v>8990.699744146872</v>
          </cell>
          <cell r="S10">
            <v>9163.0104470217357</v>
          </cell>
          <cell r="T10">
            <v>9244.6313458146651</v>
          </cell>
          <cell r="U10">
            <v>9407.4590456388432</v>
          </cell>
          <cell r="V10">
            <v>9570.2867454630232</v>
          </cell>
          <cell r="W10">
            <v>9733.1144452872031</v>
          </cell>
          <cell r="X10">
            <v>9895.9421451113813</v>
          </cell>
          <cell r="Y10">
            <v>10058.769844935561</v>
          </cell>
          <cell r="Z10">
            <v>10221.597544759741</v>
          </cell>
          <cell r="AA10">
            <v>10384.425244583919</v>
          </cell>
          <cell r="AB10">
            <v>10547.252944408099</v>
          </cell>
          <cell r="AC10">
            <v>10710.080644232279</v>
          </cell>
          <cell r="AD10">
            <v>10872.908344056457</v>
          </cell>
          <cell r="AE10">
            <v>11035.736043880637</v>
          </cell>
          <cell r="AF10">
            <v>11198.563743704817</v>
          </cell>
          <cell r="AG10">
            <v>11361.391443528995</v>
          </cell>
          <cell r="AH10">
            <v>11524.219143353175</v>
          </cell>
          <cell r="AI10">
            <v>11687.046843177355</v>
          </cell>
          <cell r="AJ10">
            <v>11849.874543001533</v>
          </cell>
          <cell r="AK10">
            <v>12012.702242825713</v>
          </cell>
          <cell r="AL10">
            <v>12175.529942649893</v>
          </cell>
          <cell r="AM10">
            <v>12338.357642474071</v>
          </cell>
          <cell r="AN10">
            <v>12501.185342298251</v>
          </cell>
        </row>
        <row r="11">
          <cell r="B11" t="str">
            <v>Heavy articulated truck</v>
          </cell>
          <cell r="C11">
            <v>4801</v>
          </cell>
          <cell r="D11">
            <v>5169</v>
          </cell>
          <cell r="E11">
            <v>5339</v>
          </cell>
          <cell r="F11">
            <v>5666</v>
          </cell>
          <cell r="G11">
            <v>5518</v>
          </cell>
          <cell r="H11">
            <v>6119</v>
          </cell>
          <cell r="I11">
            <v>6072.3333333333339</v>
          </cell>
          <cell r="J11">
            <v>6090.2222222222226</v>
          </cell>
          <cell r="K11">
            <v>5979</v>
          </cell>
          <cell r="L11">
            <v>6126</v>
          </cell>
          <cell r="M11">
            <v>6273</v>
          </cell>
          <cell r="N11">
            <v>6442</v>
          </cell>
          <cell r="O11">
            <v>6611</v>
          </cell>
          <cell r="P11">
            <v>6543.5</v>
          </cell>
          <cell r="Q11">
            <v>6476</v>
          </cell>
          <cell r="R11">
            <v>6433.757380180482</v>
          </cell>
          <cell r="S11">
            <v>6426.8578930473468</v>
          </cell>
          <cell r="T11">
            <v>6522.0730300982132</v>
          </cell>
          <cell r="U11">
            <v>6617.2881671490786</v>
          </cell>
          <cell r="V11">
            <v>6712.503304199945</v>
          </cell>
          <cell r="W11">
            <v>6807.7184412508104</v>
          </cell>
          <cell r="X11">
            <v>6902.9335783016768</v>
          </cell>
          <cell r="Y11">
            <v>6998.1487153525431</v>
          </cell>
          <cell r="Z11">
            <v>7093.3638524034086</v>
          </cell>
          <cell r="AA11">
            <v>7188.578989454275</v>
          </cell>
          <cell r="AB11">
            <v>7283.7941265051413</v>
          </cell>
          <cell r="AC11">
            <v>7379.0092635560068</v>
          </cell>
          <cell r="AD11">
            <v>7474.2244006068731</v>
          </cell>
          <cell r="AE11">
            <v>7569.4395376577395</v>
          </cell>
          <cell r="AF11">
            <v>7664.6546747086049</v>
          </cell>
          <cell r="AG11">
            <v>7759.8698117594713</v>
          </cell>
          <cell r="AH11">
            <v>7855.0849488103377</v>
          </cell>
          <cell r="AI11">
            <v>7950.3000858612031</v>
          </cell>
          <cell r="AJ11">
            <v>8045.5152229120686</v>
          </cell>
          <cell r="AK11">
            <v>8140.7303599629349</v>
          </cell>
          <cell r="AL11">
            <v>8235.9454970138013</v>
          </cell>
          <cell r="AM11">
            <v>8331.1606340646667</v>
          </cell>
          <cell r="AN11">
            <v>8426.375771115534</v>
          </cell>
        </row>
        <row r="12">
          <cell r="B12" t="str">
            <v>Light vehicle</v>
          </cell>
          <cell r="C12">
            <v>158599</v>
          </cell>
          <cell r="D12">
            <v>165297</v>
          </cell>
          <cell r="E12">
            <v>162191</v>
          </cell>
          <cell r="F12">
            <v>168752</v>
          </cell>
          <cell r="G12">
            <v>170755</v>
          </cell>
          <cell r="H12">
            <v>173547</v>
          </cell>
          <cell r="I12">
            <v>176656.99999999997</v>
          </cell>
          <cell r="J12">
            <v>179349.16666666669</v>
          </cell>
          <cell r="K12">
            <v>182877</v>
          </cell>
          <cell r="L12">
            <v>184733.5</v>
          </cell>
          <cell r="M12">
            <v>186590</v>
          </cell>
          <cell r="N12">
            <v>192198</v>
          </cell>
          <cell r="O12">
            <v>197806</v>
          </cell>
          <cell r="P12">
            <v>199049.5</v>
          </cell>
          <cell r="Q12">
            <v>200293</v>
          </cell>
          <cell r="R12">
            <v>203632.66283684966</v>
          </cell>
          <cell r="S12">
            <v>206673.62325934597</v>
          </cell>
          <cell r="T12">
            <v>209590.23168595941</v>
          </cell>
          <cell r="U12">
            <v>212591.40064562476</v>
          </cell>
          <cell r="V12">
            <v>215592.5696052901</v>
          </cell>
          <cell r="W12">
            <v>218593.73856495545</v>
          </cell>
          <cell r="X12">
            <v>221594.90752462082</v>
          </cell>
          <cell r="Y12">
            <v>224596.07648428617</v>
          </cell>
          <cell r="Z12">
            <v>227597.24544395151</v>
          </cell>
          <cell r="AA12">
            <v>230598.41440361686</v>
          </cell>
          <cell r="AB12">
            <v>233599.5833632822</v>
          </cell>
          <cell r="AC12">
            <v>236600.75232294755</v>
          </cell>
          <cell r="AD12">
            <v>239601.92128261289</v>
          </cell>
          <cell r="AE12">
            <v>242603.09024227824</v>
          </cell>
          <cell r="AF12">
            <v>245604.25920194358</v>
          </cell>
          <cell r="AG12">
            <v>248605.42816160893</v>
          </cell>
          <cell r="AH12">
            <v>251606.59712127427</v>
          </cell>
          <cell r="AI12">
            <v>254607.76608093962</v>
          </cell>
          <cell r="AJ12">
            <v>257608.93504060496</v>
          </cell>
          <cell r="AK12">
            <v>260610.10400027034</v>
          </cell>
          <cell r="AL12">
            <v>263611.27295993565</v>
          </cell>
          <cell r="AM12">
            <v>266612.44191960106</v>
          </cell>
          <cell r="AN12">
            <v>269613.6108792664</v>
          </cell>
        </row>
      </sheetData>
      <sheetData sheetId="5" refreshError="1"/>
      <sheetData sheetId="6" refreshError="1"/>
      <sheetData sheetId="7" refreshError="1"/>
      <sheetData sheetId="8" refreshError="1"/>
      <sheetData sheetId="9" refreshError="1"/>
      <sheetData sheetId="10" refreshError="1"/>
      <sheetData sheetId="11" refreshError="1"/>
      <sheetData sheetId="12">
        <row r="9">
          <cell r="C9">
            <v>80</v>
          </cell>
          <cell r="D9">
            <v>2.5</v>
          </cell>
        </row>
        <row r="10">
          <cell r="C10">
            <v>50</v>
          </cell>
          <cell r="D10">
            <v>3.5</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9">
          <cell r="C9">
            <v>80</v>
          </cell>
          <cell r="D9">
            <v>2.5</v>
          </cell>
        </row>
        <row r="10">
          <cell r="C10">
            <v>50</v>
          </cell>
          <cell r="D10">
            <v>3.5</v>
          </cell>
        </row>
      </sheetData>
      <sheetData sheetId="28" refreshError="1"/>
      <sheetData sheetId="29" refreshError="1"/>
      <sheetData sheetId="30" refreshError="1"/>
      <sheetData sheetId="31" refreshError="1"/>
      <sheetData sheetId="32">
        <row r="12">
          <cell r="D12">
            <v>2020</v>
          </cell>
        </row>
      </sheetData>
      <sheetData sheetId="33"/>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Clickable model map"/>
      <sheetName val="M.1 Masterlists"/>
      <sheetName val="A.1 Assumptions"/>
      <sheetName val="A.2 Cost allocation matrix"/>
      <sheetName val="A.3 Charges assumptions"/>
      <sheetName val="I.1 Expenditure"/>
      <sheetName val="I.2 Indexes and averages"/>
      <sheetName val="I.3 Usage data inputs"/>
      <sheetName val="I.4 Jurisdiction rego data"/>
      <sheetName val="I.5 Historical charges"/>
      <sheetName val="I.6 SMVU data for MaxMan"/>
      <sheetName val="C.1 Arterial Cost Base"/>
      <sheetName val="C.2 Local Cost Base"/>
      <sheetName val="C.3 Usage data calculations"/>
      <sheetName val="C.4 Cost allocation"/>
      <sheetName val="C.5 Regulatory costs scenario"/>
      <sheetName val="C.6 Juro Veh and Revenue"/>
      <sheetName val="C.7 Charges calculations"/>
      <sheetName val="C.8 MaxMan splitter calcs"/>
      <sheetName val="C.9 MaxMan - Cost Allocation"/>
      <sheetName val="O.1 Charges sched by components"/>
      <sheetName val="O.2 Constraints check"/>
      <sheetName val="O.3 Summary tables"/>
      <sheetName val="O.4 Charts"/>
    </sheetNames>
    <sheetDataSet>
      <sheetData sheetId="0"/>
      <sheetData sheetId="1"/>
      <sheetData sheetId="2">
        <row r="23">
          <cell r="D23" t="str">
            <v>Code</v>
          </cell>
          <cell r="E23" t="str">
            <v>Financial Year</v>
          </cell>
        </row>
        <row r="24">
          <cell r="D24" t="str">
            <v>Y-02</v>
          </cell>
          <cell r="E24" t="str">
            <v>2002/2003</v>
          </cell>
        </row>
        <row r="25">
          <cell r="D25" t="str">
            <v>Y-01</v>
          </cell>
          <cell r="E25" t="str">
            <v>2003/2004</v>
          </cell>
        </row>
        <row r="26">
          <cell r="D26" t="str">
            <v>Y00</v>
          </cell>
          <cell r="E26" t="str">
            <v>2004/2005</v>
          </cell>
        </row>
        <row r="27">
          <cell r="D27" t="str">
            <v>Y01</v>
          </cell>
          <cell r="E27" t="str">
            <v>2005/2006</v>
          </cell>
        </row>
        <row r="28">
          <cell r="D28" t="str">
            <v>Y02</v>
          </cell>
          <cell r="E28" t="str">
            <v>2006/2007</v>
          </cell>
        </row>
        <row r="29">
          <cell r="D29" t="str">
            <v>Y03</v>
          </cell>
          <cell r="E29" t="str">
            <v>2007/2008</v>
          </cell>
        </row>
        <row r="30">
          <cell r="D30" t="str">
            <v>Y04</v>
          </cell>
          <cell r="E30" t="str">
            <v>2008/2009</v>
          </cell>
        </row>
        <row r="31">
          <cell r="D31" t="str">
            <v>Y05</v>
          </cell>
          <cell r="E31" t="str">
            <v>2009/2010</v>
          </cell>
        </row>
        <row r="32">
          <cell r="D32" t="str">
            <v>Y06</v>
          </cell>
          <cell r="E32" t="str">
            <v>2010/2011</v>
          </cell>
        </row>
        <row r="33">
          <cell r="D33" t="str">
            <v>Y07</v>
          </cell>
          <cell r="E33" t="str">
            <v>2011/2012</v>
          </cell>
        </row>
        <row r="34">
          <cell r="D34" t="str">
            <v>Y08</v>
          </cell>
          <cell r="E34" t="str">
            <v>2012/2013</v>
          </cell>
        </row>
        <row r="35">
          <cell r="D35" t="str">
            <v>Y09</v>
          </cell>
          <cell r="E35" t="str">
            <v>2013/2014</v>
          </cell>
        </row>
        <row r="36">
          <cell r="D36" t="str">
            <v>Y10</v>
          </cell>
          <cell r="E36" t="str">
            <v>2014/2015</v>
          </cell>
        </row>
        <row r="37">
          <cell r="D37" t="str">
            <v>Y11</v>
          </cell>
          <cell r="E37" t="str">
            <v>2015/2016</v>
          </cell>
        </row>
        <row r="38">
          <cell r="D38" t="str">
            <v>Y12</v>
          </cell>
          <cell r="E38" t="str">
            <v>2016/2017</v>
          </cell>
        </row>
        <row r="39">
          <cell r="D39" t="str">
            <v>Y13</v>
          </cell>
          <cell r="E39" t="str">
            <v>2017/2018</v>
          </cell>
        </row>
        <row r="40">
          <cell r="D40" t="str">
            <v>Y14</v>
          </cell>
          <cell r="E40" t="str">
            <v>2018/2019</v>
          </cell>
        </row>
        <row r="41">
          <cell r="D41" t="str">
            <v>Y15</v>
          </cell>
          <cell r="E41" t="str">
            <v>2019/2020</v>
          </cell>
        </row>
        <row r="42">
          <cell r="D42" t="str">
            <v>Y16</v>
          </cell>
          <cell r="E42" t="str">
            <v>2020/2021</v>
          </cell>
        </row>
        <row r="43">
          <cell r="D43" t="str">
            <v>Y17</v>
          </cell>
          <cell r="E43" t="str">
            <v>2021/2022</v>
          </cell>
        </row>
        <row r="44">
          <cell r="D44" t="str">
            <v>Y18</v>
          </cell>
          <cell r="E44" t="str">
            <v>2022/2023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DCB0EE-90EC-4033-A8EC-8A25CF2030F1}" name="ATAP_crash_cost" displayName="ATAP_crash_cost" ref="B13:H22" totalsRowShown="0" headerRowCellStyle="Table Header" dataCellStyle="Input Cell">
  <tableColumns count="7">
    <tableColumn id="1" xr3:uid="{48D12F11-F841-4DE4-9D26-241DE3F2FD82}" name="State" dataCellStyle="Table Row Name"/>
    <tableColumn id="2" xr3:uid="{44F7CFAA-7206-4456-B07E-6F134F8C3B47}" name="Rural Fatal crash" dataDxfId="5" dataCellStyle="Input Cell"/>
    <tableColumn id="3" xr3:uid="{D1D380FE-7C40-4A7F-9529-FD8529FDF216}" name="Rural Serious injury crash" dataDxfId="4" dataCellStyle="Input Cell"/>
    <tableColumn id="4" xr3:uid="{B45A0636-9DED-4E60-990E-7B29B2AC2365}" name="Rural Other injury crash" dataDxfId="3" dataCellStyle="Input Cell"/>
    <tableColumn id="5" xr3:uid="{3A507265-3185-4173-9B21-E691FD2CF855}" name="Urban Fatal crash" dataDxfId="2" dataCellStyle="Input Cell"/>
    <tableColumn id="6" xr3:uid="{662141AF-DCB5-4CA1-8FE2-BB968935A9AB}" name="Urban Serious injury crash" dataDxfId="1" dataCellStyle="Input Cell"/>
    <tableColumn id="7" xr3:uid="{723AB6FF-8070-4184-ACB2-17E6D356337C}" name="Urban Other injury crash" dataDxfId="0" dataCellStyle="Input Cell"/>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ustroads.com.au/publications/asset-management/ap-r653-21" TargetMode="External"/><Relationship Id="rId1" Type="http://schemas.openxmlformats.org/officeDocument/2006/relationships/hyperlink" Target="https://austroads.com.au/publications/asset-management/ap-r631-20"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www.bitre.gov.au/publications/ongoing/hospitalised-injury" TargetMode="External"/><Relationship Id="rId7" Type="http://schemas.openxmlformats.org/officeDocument/2006/relationships/table" Target="../tables/table1.xml"/><Relationship Id="rId2" Type="http://schemas.openxmlformats.org/officeDocument/2006/relationships/hyperlink" Target="https://atap.gov.au/parameter-values/road-transport/files/pv2_road_parameter_values.pdf" TargetMode="External"/><Relationship Id="rId1" Type="http://schemas.openxmlformats.org/officeDocument/2006/relationships/hyperlink" Target="https://atap.gov.au/parameter-values/road-transport/files/pv2_road_parameter_values.pdf" TargetMode="External"/><Relationship Id="rId6" Type="http://schemas.openxmlformats.org/officeDocument/2006/relationships/printerSettings" Target="../printerSettings/printerSettings15.bin"/><Relationship Id="rId5" Type="http://schemas.openxmlformats.org/officeDocument/2006/relationships/hyperlink" Target="https://roadsafety.transport.nsw.gov.au/downloads/crashstats2019.pdf" TargetMode="External"/><Relationship Id="rId4" Type="http://schemas.openxmlformats.org/officeDocument/2006/relationships/hyperlink" Target="https://www.bitre.gov.au/publications/ongoing/hospitalised-inju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tap.gov.au/sites/default/files/documents/atap-pv5-environmental-parameter-values-080221.pdf" TargetMode="External"/><Relationship Id="rId1" Type="http://schemas.openxmlformats.org/officeDocument/2006/relationships/hyperlink" Target="https://www.atap.gov.au/sites/default/files/pv2_road_parameter_value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FF"/>
  </sheetPr>
  <dimension ref="B2:D11"/>
  <sheetViews>
    <sheetView showGridLines="0" tabSelected="1" zoomScale="75" zoomScaleNormal="75" workbookViewId="0">
      <selection activeCell="F7" sqref="F7"/>
    </sheetView>
  </sheetViews>
  <sheetFormatPr defaultColWidth="8.88671875" defaultRowHeight="14.25" x14ac:dyDescent="0.2"/>
  <cols>
    <col min="1" max="1" width="8.88671875" style="1"/>
    <col min="2" max="2" width="23.88671875" style="128" customWidth="1"/>
    <col min="3" max="3" width="37.44140625" style="128" customWidth="1"/>
    <col min="4" max="4" width="27.6640625" style="128" customWidth="1"/>
    <col min="5" max="16384" width="8.88671875" style="1"/>
  </cols>
  <sheetData>
    <row r="2" spans="2:4" ht="409.6" customHeight="1" x14ac:dyDescent="0.2">
      <c r="B2" s="125"/>
      <c r="C2" s="126"/>
      <c r="D2" s="127"/>
    </row>
    <row r="3" spans="2:4" ht="24.95" customHeight="1" x14ac:dyDescent="0.2">
      <c r="B3" s="129" t="s">
        <v>342</v>
      </c>
      <c r="C3" s="135" t="s">
        <v>352</v>
      </c>
      <c r="D3" s="135"/>
    </row>
    <row r="4" spans="2:4" ht="24.95" customHeight="1" x14ac:dyDescent="0.2">
      <c r="B4" s="129" t="s">
        <v>343</v>
      </c>
      <c r="C4" s="136" t="s">
        <v>26</v>
      </c>
      <c r="D4" s="136"/>
    </row>
    <row r="5" spans="2:4" ht="24.95" customHeight="1" x14ac:dyDescent="0.2">
      <c r="B5" s="129" t="s">
        <v>344</v>
      </c>
      <c r="C5" s="137" t="s">
        <v>350</v>
      </c>
      <c r="D5" s="137"/>
    </row>
    <row r="6" spans="2:4" ht="24.95" customHeight="1" x14ac:dyDescent="0.2">
      <c r="B6" s="129" t="s">
        <v>1</v>
      </c>
      <c r="C6" s="138" t="s">
        <v>27</v>
      </c>
      <c r="D6" s="138"/>
    </row>
    <row r="7" spans="2:4" ht="24.95" customHeight="1" x14ac:dyDescent="0.2">
      <c r="B7" s="129" t="s">
        <v>2</v>
      </c>
      <c r="C7" s="139" t="s">
        <v>349</v>
      </c>
      <c r="D7" s="139"/>
    </row>
    <row r="8" spans="2:4" ht="24.95" customHeight="1" x14ac:dyDescent="0.2">
      <c r="B8" s="129" t="s">
        <v>3</v>
      </c>
      <c r="C8" s="139">
        <v>1</v>
      </c>
      <c r="D8" s="139"/>
    </row>
    <row r="9" spans="2:4" ht="24.95" customHeight="1" x14ac:dyDescent="0.2">
      <c r="B9" s="130" t="s">
        <v>345</v>
      </c>
      <c r="C9" s="133" t="s">
        <v>346</v>
      </c>
      <c r="D9" s="133"/>
    </row>
    <row r="10" spans="2:4" ht="36.75" customHeight="1" x14ac:dyDescent="0.2">
      <c r="B10" s="131"/>
      <c r="C10" s="133" t="s">
        <v>347</v>
      </c>
      <c r="D10" s="133"/>
    </row>
    <row r="11" spans="2:4" ht="56.25" customHeight="1" x14ac:dyDescent="0.2">
      <c r="B11" s="132" t="s">
        <v>348</v>
      </c>
      <c r="C11" s="134" t="s">
        <v>351</v>
      </c>
      <c r="D11" s="134"/>
    </row>
  </sheetData>
  <mergeCells count="9">
    <mergeCell ref="C9:D9"/>
    <mergeCell ref="C10:D10"/>
    <mergeCell ref="C11:D11"/>
    <mergeCell ref="C3:D3"/>
    <mergeCell ref="C4:D4"/>
    <mergeCell ref="C5:D5"/>
    <mergeCell ref="C6:D6"/>
    <mergeCell ref="C7:D7"/>
    <mergeCell ref="C8:D8"/>
  </mergeCells>
  <hyperlinks>
    <hyperlink ref="C10:D10" r:id="rId1" display="A Holistic Investment Prioritisation Framework for Road Assets" xr:uid="{05D1F2E4-8A8E-4232-AF5E-79DBBB368159}"/>
    <hyperlink ref="C9:D9" r:id="rId2" display="Investment Prioritisation Templates User Guide" xr:uid="{D4410C0F-6860-49C7-A702-2BDA5EFD3A4C}"/>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AE01B-4BD4-4675-AA0F-01CA16503B5A}">
  <sheetPr>
    <tabColor rgb="FF99FFCC"/>
  </sheetPr>
  <dimension ref="A1:AA32"/>
  <sheetViews>
    <sheetView showGridLines="0" zoomScale="70" zoomScaleNormal="70" workbookViewId="0">
      <selection activeCell="C36" sqref="C36"/>
    </sheetView>
  </sheetViews>
  <sheetFormatPr defaultColWidth="8.88671875" defaultRowHeight="15" x14ac:dyDescent="0.2"/>
  <cols>
    <col min="1" max="2" width="18.5546875" style="1" customWidth="1"/>
    <col min="3" max="3" width="18" style="1" customWidth="1"/>
    <col min="4" max="4" width="17.109375" style="1" customWidth="1"/>
    <col min="5" max="5" width="13.6640625" customWidth="1"/>
    <col min="6" max="6" width="7.6640625" customWidth="1"/>
    <col min="7" max="7" width="18.5546875" bestFit="1" customWidth="1"/>
    <col min="8" max="8" width="17.88671875" customWidth="1"/>
    <col min="9" max="9" width="17.44140625" customWidth="1"/>
    <col min="10" max="10" width="11.6640625" customWidth="1"/>
    <col min="11" max="27" width="8.6640625" customWidth="1"/>
    <col min="28" max="16384" width="8.88671875" style="1"/>
  </cols>
  <sheetData>
    <row r="1" spans="1:17" ht="18" x14ac:dyDescent="0.25">
      <c r="A1" s="2" t="str">
        <f ca="1">MID(CELL("filename",A2),FIND("]",CELL("filename",A2))+1,256)</f>
        <v>VOC Summary</v>
      </c>
    </row>
    <row r="2" spans="1:17" x14ac:dyDescent="0.2">
      <c r="A2" s="6" t="s">
        <v>0</v>
      </c>
    </row>
    <row r="4" spans="1:17" ht="20.25" x14ac:dyDescent="0.3">
      <c r="B4" s="16" t="s">
        <v>170</v>
      </c>
      <c r="C4" s="16"/>
      <c r="D4" s="16"/>
      <c r="E4" s="16"/>
      <c r="F4" s="16"/>
      <c r="G4" s="16"/>
      <c r="H4" s="16"/>
      <c r="I4" s="16"/>
      <c r="J4" s="16"/>
    </row>
    <row r="6" spans="1:17" ht="15.75" x14ac:dyDescent="0.25">
      <c r="B6" s="8" t="s">
        <v>168</v>
      </c>
      <c r="C6" s="8"/>
      <c r="D6" s="9"/>
      <c r="E6" s="9"/>
      <c r="G6" s="8" t="s">
        <v>169</v>
      </c>
      <c r="H6" s="8"/>
      <c r="I6" s="9"/>
      <c r="J6" s="9"/>
    </row>
    <row r="8" spans="1:17" customFormat="1" ht="15.75" x14ac:dyDescent="0.25">
      <c r="A8" s="1"/>
      <c r="B8" s="11" t="s">
        <v>166</v>
      </c>
      <c r="C8" s="11" t="s">
        <v>131</v>
      </c>
      <c r="D8" s="11" t="s">
        <v>132</v>
      </c>
      <c r="E8" s="11" t="s">
        <v>60</v>
      </c>
      <c r="F8" s="1"/>
      <c r="G8" s="11" t="s">
        <v>166</v>
      </c>
      <c r="H8" s="11" t="s">
        <v>131</v>
      </c>
      <c r="I8" s="11" t="s">
        <v>132</v>
      </c>
      <c r="J8" s="11" t="s">
        <v>60</v>
      </c>
      <c r="K8" s="1"/>
      <c r="L8" s="1"/>
      <c r="M8" s="1"/>
      <c r="N8" s="1"/>
      <c r="O8" s="1"/>
      <c r="P8" s="1"/>
      <c r="Q8" s="1"/>
    </row>
    <row r="9" spans="1:17" customFormat="1" x14ac:dyDescent="0.2">
      <c r="A9" s="1"/>
      <c r="B9" s="3" t="s">
        <v>37</v>
      </c>
      <c r="C9" s="121">
        <f>'Urban VOC'!K13</f>
        <v>23.325295357349514</v>
      </c>
      <c r="D9" s="121">
        <f>'Urban VOC'!K23</f>
        <v>19.094490872780185</v>
      </c>
      <c r="E9" s="121">
        <f>'Rural VOC'!M12</f>
        <v>33.31446307136504</v>
      </c>
      <c r="F9" s="1"/>
      <c r="G9" s="3" t="s">
        <v>37</v>
      </c>
      <c r="H9" s="121">
        <f>'Urban VOC'!L13</f>
        <v>25.364327080248671</v>
      </c>
      <c r="I9" s="121">
        <f>'Urban VOC'!L23</f>
        <v>19.246481798928155</v>
      </c>
      <c r="J9" s="121">
        <f>'Rural VOC'!M25</f>
        <v>33.403202859387243</v>
      </c>
      <c r="K9" s="1"/>
      <c r="L9" s="1"/>
      <c r="M9" s="1"/>
      <c r="N9" s="1"/>
      <c r="O9" s="1"/>
      <c r="P9" s="1"/>
      <c r="Q9" s="1"/>
    </row>
    <row r="10" spans="1:17" customFormat="1" x14ac:dyDescent="0.2">
      <c r="A10" s="1"/>
      <c r="B10" s="3" t="s">
        <v>122</v>
      </c>
      <c r="C10" s="122">
        <f>'Urban VOC'!K14</f>
        <v>52.669180730930897</v>
      </c>
      <c r="D10" s="122">
        <f>'Urban VOC'!K24</f>
        <v>36.872835575180019</v>
      </c>
      <c r="E10" s="122">
        <f>'Rural VOC'!M13</f>
        <v>64.163845392680898</v>
      </c>
      <c r="G10" s="3" t="s">
        <v>122</v>
      </c>
      <c r="H10" s="122">
        <f>'Urban VOC'!L14</f>
        <v>56.368232362096151</v>
      </c>
      <c r="I10" s="122">
        <f>'Urban VOC'!L24</f>
        <v>35.50342560863313</v>
      </c>
      <c r="J10" s="122">
        <f>'Rural VOC'!M26</f>
        <v>62.79375334343235</v>
      </c>
      <c r="K10" s="1"/>
      <c r="L10" s="1"/>
      <c r="M10" s="1"/>
      <c r="N10" s="1"/>
      <c r="O10" s="1"/>
      <c r="P10" s="1"/>
      <c r="Q10" s="1"/>
    </row>
    <row r="11" spans="1:17" customFormat="1" x14ac:dyDescent="0.2">
      <c r="B11" s="3" t="s">
        <v>123</v>
      </c>
      <c r="C11" s="122">
        <f>'Urban VOC'!K15</f>
        <v>76.381689940187385</v>
      </c>
      <c r="D11" s="122">
        <f>'Urban VOC'!K25</f>
        <v>50.430618176772875</v>
      </c>
      <c r="E11" s="122">
        <f>'Rural VOC'!M14</f>
        <v>84.845811869994236</v>
      </c>
      <c r="F11" s="1"/>
      <c r="G11" s="3" t="s">
        <v>123</v>
      </c>
      <c r="H11" s="122">
        <f>'Urban VOC'!L15</f>
        <v>80.213440824722312</v>
      </c>
      <c r="I11" s="122">
        <f>'Urban VOC'!L25</f>
        <v>46.363170078643755</v>
      </c>
      <c r="J11" s="122">
        <f>'Rural VOC'!M27</f>
        <v>81.061339045741263</v>
      </c>
      <c r="K11" s="1"/>
      <c r="L11" s="1"/>
      <c r="M11" s="1"/>
      <c r="N11" s="1"/>
      <c r="O11" s="1"/>
      <c r="P11" s="1"/>
      <c r="Q11" s="1"/>
    </row>
    <row r="12" spans="1:17" customFormat="1" x14ac:dyDescent="0.2">
      <c r="B12" s="3" t="s">
        <v>40</v>
      </c>
      <c r="C12" s="122">
        <f>'Urban VOC'!K16</f>
        <v>103.10841881408376</v>
      </c>
      <c r="D12" s="122">
        <f>'Urban VOC'!K26</f>
        <v>71.115517701666462</v>
      </c>
      <c r="E12" s="122">
        <f>'Rural VOC'!M15</f>
        <v>120.21123946751389</v>
      </c>
      <c r="F12" s="1"/>
      <c r="G12" s="3" t="s">
        <v>40</v>
      </c>
      <c r="H12" s="122">
        <f>'Urban VOC'!L16</f>
        <v>112.66365040319042</v>
      </c>
      <c r="I12" s="122">
        <f>'Urban VOC'!L26</f>
        <v>70.872973303202812</v>
      </c>
      <c r="J12" s="122">
        <f>'Rural VOC'!M28</f>
        <v>120.85717309960472</v>
      </c>
      <c r="K12" s="1"/>
      <c r="L12" s="1"/>
      <c r="M12" s="1"/>
      <c r="N12" s="1"/>
      <c r="O12" s="1"/>
      <c r="P12" s="1"/>
      <c r="Q12" s="1"/>
    </row>
    <row r="13" spans="1:17" customFormat="1" x14ac:dyDescent="0.2">
      <c r="B13" s="3" t="s">
        <v>41</v>
      </c>
      <c r="C13" s="122">
        <f>'Urban VOC'!K17</f>
        <v>131.15961376410741</v>
      </c>
      <c r="D13" s="122">
        <f>'Urban VOC'!K27</f>
        <v>84.974077214754089</v>
      </c>
      <c r="E13" s="122">
        <f>'Rural VOC'!M16</f>
        <v>137.51221795914427</v>
      </c>
      <c r="F13" s="1"/>
      <c r="G13" s="3" t="s">
        <v>41</v>
      </c>
      <c r="H13" s="122">
        <f>'Urban VOC'!L17</f>
        <v>137.89133371154509</v>
      </c>
      <c r="I13" s="122">
        <f>'Urban VOC'!L27</f>
        <v>79.904255363682367</v>
      </c>
      <c r="J13" s="122">
        <f>'Rural VOC'!M29</f>
        <v>132.55720997299005</v>
      </c>
      <c r="K13" s="1"/>
      <c r="L13" s="1"/>
      <c r="M13" s="1"/>
      <c r="N13" s="1"/>
      <c r="O13" s="1"/>
      <c r="P13" s="1"/>
      <c r="Q13" s="1"/>
    </row>
    <row r="14" spans="1:17" customFormat="1" x14ac:dyDescent="0.2">
      <c r="B14" s="3" t="s">
        <v>84</v>
      </c>
      <c r="C14" s="123">
        <f>'Urban VOC'!K18</f>
        <v>161.29397827978971</v>
      </c>
      <c r="D14" s="123">
        <f>'Urban VOC'!K28</f>
        <v>102.21261620377653</v>
      </c>
      <c r="E14" s="123">
        <f>'Rural VOC'!M17</f>
        <v>163.15969492183009</v>
      </c>
      <c r="F14" s="1"/>
      <c r="G14" s="3" t="s">
        <v>84</v>
      </c>
      <c r="H14" s="123">
        <f>'Urban VOC'!L18</f>
        <v>169.13855030443318</v>
      </c>
      <c r="I14" s="123">
        <f>'Urban VOC'!L28</f>
        <v>97.293043095115863</v>
      </c>
      <c r="J14" s="123">
        <f>'Rural VOC'!M30</f>
        <v>158.43761664261902</v>
      </c>
      <c r="K14" s="1"/>
      <c r="L14" s="1"/>
      <c r="M14" s="1"/>
      <c r="N14" s="1"/>
      <c r="O14" s="1"/>
      <c r="P14" s="1"/>
      <c r="Q14" s="1"/>
    </row>
    <row r="15" spans="1:17" customFormat="1" x14ac:dyDescent="0.2">
      <c r="B15" s="1"/>
      <c r="C15" s="1"/>
      <c r="D15" s="1"/>
      <c r="E15" s="1"/>
      <c r="F15" s="1"/>
      <c r="G15" s="1"/>
      <c r="H15" s="1"/>
      <c r="I15" s="1"/>
      <c r="J15" s="1"/>
      <c r="K15" s="1"/>
      <c r="L15" s="1"/>
      <c r="M15" s="1"/>
      <c r="N15" s="1"/>
      <c r="O15" s="1"/>
      <c r="P15" s="1"/>
      <c r="Q15" s="1"/>
    </row>
    <row r="16" spans="1:17" customFormat="1" x14ac:dyDescent="0.2">
      <c r="B16" s="1"/>
      <c r="C16" s="1"/>
      <c r="D16" s="1"/>
      <c r="E16" s="1"/>
      <c r="F16" s="1"/>
      <c r="G16" s="1"/>
      <c r="H16" s="1"/>
      <c r="I16" s="1"/>
      <c r="J16" s="1"/>
      <c r="K16" s="1"/>
      <c r="L16" s="1"/>
      <c r="M16" s="1"/>
      <c r="N16" s="1"/>
      <c r="O16" s="1"/>
      <c r="P16" s="1"/>
      <c r="Q16" s="1"/>
    </row>
    <row r="17" spans="1:17" customFormat="1" x14ac:dyDescent="0.2">
      <c r="B17" s="1"/>
      <c r="C17" s="1"/>
      <c r="D17" s="1"/>
      <c r="E17" s="1"/>
      <c r="F17" s="1"/>
      <c r="G17" s="1"/>
      <c r="H17" s="1"/>
      <c r="I17" s="1"/>
      <c r="J17" s="1"/>
      <c r="K17" s="1"/>
      <c r="L17" s="1"/>
      <c r="M17" s="1"/>
      <c r="N17" s="1"/>
      <c r="O17" s="1"/>
      <c r="P17" s="1"/>
      <c r="Q17" s="1"/>
    </row>
    <row r="18" spans="1:17" customFormat="1" x14ac:dyDescent="0.2">
      <c r="B18" s="1"/>
      <c r="C18" s="1"/>
      <c r="D18" s="1"/>
      <c r="E18" s="1"/>
      <c r="F18" s="1"/>
      <c r="G18" s="1"/>
      <c r="H18" s="1"/>
      <c r="I18" s="1"/>
      <c r="J18" s="1"/>
      <c r="K18" s="1"/>
      <c r="L18" s="1"/>
      <c r="M18" s="1"/>
      <c r="N18" s="1"/>
      <c r="O18" s="1"/>
      <c r="P18" s="1"/>
      <c r="Q18" s="1"/>
    </row>
    <row r="19" spans="1:17" customFormat="1" x14ac:dyDescent="0.2">
      <c r="A19" s="1"/>
      <c r="B19" s="1"/>
      <c r="C19" s="1"/>
      <c r="D19" s="1"/>
      <c r="E19" s="1"/>
      <c r="F19" s="1"/>
      <c r="G19" s="1"/>
      <c r="H19" s="1"/>
      <c r="I19" s="1"/>
      <c r="J19" s="1"/>
      <c r="K19" s="1"/>
      <c r="L19" s="1"/>
      <c r="M19" s="1"/>
      <c r="N19" s="1"/>
      <c r="O19" s="1"/>
      <c r="P19" s="1"/>
      <c r="Q19" s="1"/>
    </row>
    <row r="20" spans="1:17" customFormat="1" x14ac:dyDescent="0.2">
      <c r="A20" s="1"/>
      <c r="B20" s="1"/>
      <c r="C20" s="1"/>
      <c r="D20" s="1"/>
      <c r="E20" s="1"/>
      <c r="F20" s="1"/>
      <c r="G20" s="1"/>
      <c r="H20" s="1"/>
      <c r="I20" s="1"/>
      <c r="J20" s="1"/>
      <c r="K20" s="1"/>
      <c r="L20" s="1"/>
      <c r="M20" s="1"/>
      <c r="N20" s="1"/>
      <c r="O20" s="1"/>
      <c r="P20" s="1"/>
      <c r="Q20" s="1"/>
    </row>
    <row r="21" spans="1:17" customFormat="1" x14ac:dyDescent="0.2">
      <c r="B21" s="1"/>
      <c r="C21" s="1"/>
      <c r="D21" s="1"/>
      <c r="E21" s="1"/>
      <c r="F21" s="1"/>
      <c r="G21" s="1"/>
      <c r="H21" s="1"/>
      <c r="I21" s="1"/>
      <c r="J21" s="1"/>
      <c r="K21" s="1"/>
      <c r="L21" s="1"/>
      <c r="M21" s="1"/>
      <c r="N21" s="1"/>
      <c r="O21" s="1"/>
      <c r="P21" s="1"/>
      <c r="Q21" s="1"/>
    </row>
    <row r="22" spans="1:17" customFormat="1" x14ac:dyDescent="0.2">
      <c r="B22" s="1"/>
      <c r="C22" s="1"/>
      <c r="D22" s="1"/>
      <c r="E22" s="1"/>
      <c r="F22" s="1"/>
      <c r="G22" s="1"/>
      <c r="H22" s="1"/>
      <c r="I22" s="1"/>
      <c r="J22" s="1"/>
      <c r="K22" s="1"/>
      <c r="L22" s="1"/>
      <c r="M22" s="1"/>
      <c r="N22" s="1"/>
      <c r="O22" s="1"/>
      <c r="P22" s="1"/>
      <c r="Q22" s="1"/>
    </row>
    <row r="23" spans="1:17" customFormat="1" x14ac:dyDescent="0.2">
      <c r="B23" s="1"/>
      <c r="C23" s="1"/>
      <c r="D23" s="1"/>
      <c r="E23" s="1"/>
      <c r="F23" s="1"/>
      <c r="G23" s="1"/>
      <c r="H23" s="1"/>
      <c r="I23" s="1"/>
      <c r="J23" s="1"/>
      <c r="K23" s="1"/>
      <c r="L23" s="1"/>
      <c r="M23" s="1"/>
      <c r="N23" s="1"/>
      <c r="O23" s="1"/>
      <c r="P23" s="1"/>
      <c r="Q23" s="1"/>
    </row>
    <row r="24" spans="1:17" customFormat="1" x14ac:dyDescent="0.2">
      <c r="B24" s="1"/>
      <c r="C24" s="1"/>
      <c r="D24" s="1"/>
      <c r="E24" s="1"/>
      <c r="F24" s="1"/>
      <c r="G24" s="1"/>
      <c r="H24" s="1"/>
      <c r="I24" s="1"/>
      <c r="J24" s="1"/>
      <c r="K24" s="1"/>
      <c r="L24" s="1"/>
      <c r="M24" s="1"/>
      <c r="N24" s="1"/>
      <c r="O24" s="1"/>
      <c r="P24" s="1"/>
      <c r="Q24" s="1"/>
    </row>
    <row r="25" spans="1:17" customFormat="1" x14ac:dyDescent="0.2">
      <c r="B25" s="1"/>
      <c r="C25" s="1"/>
      <c r="D25" s="1"/>
      <c r="E25" s="1"/>
      <c r="F25" s="1"/>
      <c r="G25" s="1"/>
      <c r="H25" s="1"/>
      <c r="I25" s="1"/>
      <c r="J25" s="1"/>
      <c r="K25" s="1"/>
      <c r="L25" s="1"/>
      <c r="M25" s="1"/>
      <c r="N25" s="1"/>
      <c r="O25" s="1"/>
      <c r="P25" s="1"/>
      <c r="Q25" s="1"/>
    </row>
    <row r="26" spans="1:17" customFormat="1" x14ac:dyDescent="0.2">
      <c r="B26" s="1"/>
      <c r="C26" s="1"/>
      <c r="D26" s="1"/>
      <c r="E26" s="1"/>
      <c r="F26" s="1"/>
      <c r="G26" s="1"/>
      <c r="H26" s="1"/>
      <c r="I26" s="1"/>
      <c r="J26" s="1"/>
      <c r="K26" s="1"/>
      <c r="L26" s="1"/>
      <c r="M26" s="1"/>
      <c r="N26" s="1"/>
      <c r="O26" s="1"/>
      <c r="P26" s="1"/>
      <c r="Q26" s="1"/>
    </row>
    <row r="27" spans="1:17" customFormat="1" x14ac:dyDescent="0.2">
      <c r="B27" s="1"/>
      <c r="C27" s="1"/>
      <c r="D27" s="1"/>
      <c r="E27" s="1"/>
      <c r="F27" s="1"/>
      <c r="G27" s="1"/>
      <c r="H27" s="1"/>
      <c r="I27" s="1"/>
      <c r="J27" s="1"/>
      <c r="K27" s="1"/>
      <c r="L27" s="1"/>
      <c r="M27" s="1"/>
      <c r="N27" s="1"/>
      <c r="O27" s="1"/>
      <c r="P27" s="1"/>
      <c r="Q27" s="1"/>
    </row>
    <row r="28" spans="1:17" customFormat="1" x14ac:dyDescent="0.2"/>
    <row r="29" spans="1:17" customFormat="1" x14ac:dyDescent="0.2"/>
    <row r="30" spans="1:17" customFormat="1" x14ac:dyDescent="0.2"/>
    <row r="31" spans="1:17" customFormat="1" x14ac:dyDescent="0.2"/>
    <row r="32" spans="1:17" customFormat="1" x14ac:dyDescent="0.2"/>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0A2A-FB68-4DF5-8696-649F443D60DE}">
  <sheetPr>
    <tabColor rgb="FF99FFCC"/>
  </sheetPr>
  <dimension ref="A1:AB46"/>
  <sheetViews>
    <sheetView showGridLines="0" zoomScale="70" zoomScaleNormal="70" workbookViewId="0">
      <selection activeCell="I8" sqref="I8"/>
    </sheetView>
  </sheetViews>
  <sheetFormatPr defaultColWidth="8.88671875" defaultRowHeight="15" x14ac:dyDescent="0.2"/>
  <cols>
    <col min="1" max="1" width="18.5546875" style="1" customWidth="1"/>
    <col min="2" max="3" width="21" style="1" customWidth="1"/>
    <col min="4" max="5" width="11.109375" style="1" customWidth="1"/>
    <col min="6" max="7" width="11.109375" customWidth="1"/>
    <col min="8" max="8" width="13.88671875" customWidth="1"/>
    <col min="9" max="9" width="16.88671875" customWidth="1"/>
    <col min="10" max="10" width="15.21875" customWidth="1"/>
    <col min="11" max="11" width="16.88671875" customWidth="1"/>
    <col min="12" max="12" width="15.5546875" customWidth="1"/>
    <col min="13" max="13" width="14.88671875" customWidth="1"/>
    <col min="14" max="28" width="8.6640625" customWidth="1"/>
    <col min="29" max="16384" width="8.88671875" style="1"/>
  </cols>
  <sheetData>
    <row r="1" spans="1:21" ht="18" x14ac:dyDescent="0.25">
      <c r="A1" s="2" t="str">
        <f ca="1">MID(CELL("filename",A2),FIND("]",CELL("filename",A2))+1,256)</f>
        <v>Urban VOC</v>
      </c>
    </row>
    <row r="2" spans="1:21" x14ac:dyDescent="0.2">
      <c r="A2" s="6" t="s">
        <v>0</v>
      </c>
    </row>
    <row r="4" spans="1:21" ht="20.25" x14ac:dyDescent="0.3">
      <c r="B4" s="7" t="s">
        <v>152</v>
      </c>
      <c r="C4" s="7"/>
      <c r="D4" s="7"/>
      <c r="E4" s="7"/>
      <c r="F4" s="7"/>
      <c r="G4" s="7"/>
      <c r="H4" s="7"/>
      <c r="I4" s="7"/>
      <c r="J4" s="7"/>
      <c r="K4" s="7"/>
      <c r="L4" s="7"/>
      <c r="M4" s="7"/>
      <c r="N4" s="7"/>
      <c r="O4" s="7"/>
      <c r="P4" s="7"/>
      <c r="Q4" s="7"/>
      <c r="R4" s="7"/>
      <c r="S4" s="7"/>
      <c r="T4" s="7"/>
      <c r="U4" s="7"/>
    </row>
    <row r="5" spans="1:21" x14ac:dyDescent="0.2">
      <c r="F5" s="1"/>
      <c r="G5" s="1"/>
      <c r="H5" s="1"/>
      <c r="I5" s="1"/>
      <c r="J5" s="1"/>
      <c r="K5" s="1"/>
      <c r="L5" s="1"/>
      <c r="M5" s="1"/>
      <c r="N5" s="1"/>
      <c r="O5" s="1"/>
      <c r="P5" s="1"/>
      <c r="Q5" s="1"/>
      <c r="R5" s="1"/>
      <c r="S5" s="1"/>
      <c r="T5" s="1"/>
      <c r="U5" s="1"/>
    </row>
    <row r="6" spans="1:21" customFormat="1" x14ac:dyDescent="0.2">
      <c r="A6" s="1"/>
      <c r="B6" s="1"/>
      <c r="C6" s="1"/>
      <c r="D6" s="1"/>
      <c r="E6" s="1"/>
    </row>
    <row r="7" spans="1:21" ht="15.75" x14ac:dyDescent="0.25">
      <c r="H7" s="11" t="s">
        <v>158</v>
      </c>
      <c r="I7" s="11" t="s">
        <v>159</v>
      </c>
      <c r="J7" s="11" t="s">
        <v>160</v>
      </c>
    </row>
    <row r="8" spans="1:21" x14ac:dyDescent="0.2">
      <c r="H8" s="3" t="s">
        <v>157</v>
      </c>
      <c r="I8" s="5">
        <f>Originalroute_Speed</f>
        <v>80</v>
      </c>
      <c r="J8" s="5">
        <f>Detour_Speed</f>
        <v>60</v>
      </c>
    </row>
    <row r="10" spans="1:21" ht="15.75" x14ac:dyDescent="0.25">
      <c r="B10" s="8" t="s">
        <v>156</v>
      </c>
      <c r="C10" s="8"/>
      <c r="D10" s="8"/>
      <c r="E10" s="9"/>
      <c r="F10" s="9"/>
      <c r="G10" s="9"/>
      <c r="H10" s="9"/>
      <c r="I10" s="9"/>
      <c r="J10" s="9"/>
      <c r="K10" s="9"/>
      <c r="L10" s="9"/>
      <c r="M10" s="9"/>
      <c r="N10" s="9"/>
      <c r="O10" s="9"/>
      <c r="P10" s="9"/>
      <c r="Q10" s="9"/>
      <c r="R10" s="9"/>
      <c r="S10" s="9"/>
      <c r="T10" s="9"/>
      <c r="U10" s="9"/>
    </row>
    <row r="12" spans="1:21" customFormat="1" ht="31.5" x14ac:dyDescent="0.25">
      <c r="A12" s="1"/>
      <c r="B12" s="11" t="s">
        <v>166</v>
      </c>
      <c r="C12" s="11" t="s">
        <v>167</v>
      </c>
      <c r="D12" s="11" t="s">
        <v>137</v>
      </c>
      <c r="E12" s="11" t="s">
        <v>138</v>
      </c>
      <c r="F12" s="11" t="s">
        <v>139</v>
      </c>
      <c r="G12" s="11" t="s">
        <v>140</v>
      </c>
      <c r="H12" s="11"/>
      <c r="I12" s="12" t="s">
        <v>161</v>
      </c>
      <c r="J12" s="12" t="s">
        <v>162</v>
      </c>
      <c r="K12" s="12" t="s">
        <v>163</v>
      </c>
      <c r="L12" s="12" t="s">
        <v>164</v>
      </c>
      <c r="M12" s="11"/>
      <c r="N12" s="11"/>
      <c r="O12" s="11"/>
      <c r="P12" s="11"/>
      <c r="Q12" s="11"/>
      <c r="R12" s="11"/>
      <c r="S12" s="11"/>
      <c r="T12" s="11"/>
      <c r="U12" s="11"/>
    </row>
    <row r="13" spans="1:21" customFormat="1" x14ac:dyDescent="0.2">
      <c r="A13" s="1"/>
      <c r="B13" s="3" t="s">
        <v>37</v>
      </c>
      <c r="C13" s="3" t="s">
        <v>12</v>
      </c>
      <c r="D13" s="4">
        <v>13.483065737051792</v>
      </c>
      <c r="E13" s="4">
        <v>1401.996061752988</v>
      </c>
      <c r="F13" s="4">
        <v>-15.245690574975582</v>
      </c>
      <c r="G13" s="4">
        <v>3.6508330690930912</v>
      </c>
      <c r="H13" s="4"/>
      <c r="I13" s="19">
        <f>$D13+$E13/I$8+$F13*60/I$8+$G13</f>
        <v>23.224581646825552</v>
      </c>
      <c r="J13" s="68">
        <f>$D13+$E13/J$8+$F13*60/J$8+$G13</f>
        <v>25.254809260385766</v>
      </c>
      <c r="K13" s="19">
        <f t="shared" ref="K13:L18" si="0">I13*CPI_2020/CPI_2019</f>
        <v>23.325295357349514</v>
      </c>
      <c r="L13" s="68">
        <f t="shared" si="0"/>
        <v>25.364327080248671</v>
      </c>
      <c r="M13" s="13" t="s">
        <v>155</v>
      </c>
      <c r="N13" s="3"/>
      <c r="O13" s="3"/>
      <c r="P13" s="3"/>
      <c r="Q13" s="3"/>
      <c r="R13" s="3"/>
      <c r="S13" s="3"/>
      <c r="T13" s="3"/>
      <c r="U13" s="3"/>
    </row>
    <row r="14" spans="1:21" customFormat="1" x14ac:dyDescent="0.2">
      <c r="A14" s="1"/>
      <c r="B14" s="3" t="s">
        <v>122</v>
      </c>
      <c r="C14" s="3" t="s">
        <v>15</v>
      </c>
      <c r="D14" s="4">
        <v>38.258917714285715</v>
      </c>
      <c r="E14" s="4">
        <v>2414.869700571428</v>
      </c>
      <c r="F14" s="4">
        <v>-25.515508720288825</v>
      </c>
      <c r="G14" s="4">
        <v>3.133608875146713</v>
      </c>
      <c r="H14" s="4"/>
      <c r="I14" s="69">
        <f t="shared" ref="I14:J18" si="1">$D14+$E14/I$8+$F14*60/I$8+$G14</f>
        <v>52.441766306358659</v>
      </c>
      <c r="J14" s="21">
        <f t="shared" si="1"/>
        <v>56.12484621200074</v>
      </c>
      <c r="K14" s="69">
        <f t="shared" si="0"/>
        <v>52.669180730930897</v>
      </c>
      <c r="L14" s="21">
        <f t="shared" si="0"/>
        <v>56.368232362096151</v>
      </c>
      <c r="M14" s="13" t="s">
        <v>149</v>
      </c>
      <c r="N14" s="3"/>
      <c r="O14" s="3"/>
      <c r="P14" s="3"/>
      <c r="Q14" s="3"/>
      <c r="R14" s="3"/>
      <c r="S14" s="3"/>
      <c r="T14" s="3"/>
      <c r="U14" s="3"/>
    </row>
    <row r="15" spans="1:21" customFormat="1" x14ac:dyDescent="0.2">
      <c r="A15" s="1"/>
      <c r="B15" s="3" t="s">
        <v>123</v>
      </c>
      <c r="C15" s="3" t="s">
        <v>141</v>
      </c>
      <c r="D15" s="4">
        <v>61.079542857142847</v>
      </c>
      <c r="E15" s="4">
        <v>2731.3507445714285</v>
      </c>
      <c r="F15" s="4">
        <v>-30.261687643137762</v>
      </c>
      <c r="G15" s="4">
        <v>3.5267284653353754</v>
      </c>
      <c r="H15" s="4"/>
      <c r="I15" s="69">
        <f t="shared" si="1"/>
        <v>76.051889897267756</v>
      </c>
      <c r="J15" s="21">
        <f t="shared" si="1"/>
        <v>79.867096088864272</v>
      </c>
      <c r="K15" s="69">
        <f t="shared" si="0"/>
        <v>76.381689940187385</v>
      </c>
      <c r="L15" s="21">
        <f t="shared" si="0"/>
        <v>80.213440824722312</v>
      </c>
      <c r="M15" s="13" t="s">
        <v>150</v>
      </c>
      <c r="N15" s="3"/>
      <c r="O15" s="3"/>
      <c r="P15" s="3"/>
      <c r="Q15" s="3"/>
      <c r="R15" s="3"/>
      <c r="S15" s="3"/>
      <c r="T15" s="3"/>
      <c r="U15" s="3"/>
    </row>
    <row r="16" spans="1:21" customFormat="1" x14ac:dyDescent="0.2">
      <c r="A16" s="1"/>
      <c r="B16" s="3" t="s">
        <v>40</v>
      </c>
      <c r="C16" s="3" t="s">
        <v>144</v>
      </c>
      <c r="D16" s="4">
        <v>68.983658857142856</v>
      </c>
      <c r="E16" s="4">
        <v>4949.7868828571427</v>
      </c>
      <c r="F16" s="4">
        <v>-44.440551597739962</v>
      </c>
      <c r="G16" s="4">
        <v>5.1376371928731865</v>
      </c>
      <c r="H16" s="4"/>
      <c r="I16" s="69">
        <f t="shared" si="1"/>
        <v>102.66321838742537</v>
      </c>
      <c r="J16" s="21">
        <f t="shared" si="1"/>
        <v>112.17719249989513</v>
      </c>
      <c r="K16" s="69">
        <f t="shared" si="0"/>
        <v>103.10841881408376</v>
      </c>
      <c r="L16" s="21">
        <f t="shared" si="0"/>
        <v>112.66365040319042</v>
      </c>
      <c r="M16" s="13" t="s">
        <v>148</v>
      </c>
      <c r="N16" s="3"/>
      <c r="O16" s="3"/>
      <c r="P16" s="3"/>
      <c r="Q16" s="3"/>
      <c r="R16" s="3"/>
      <c r="S16" s="3"/>
      <c r="T16" s="3"/>
      <c r="U16" s="3"/>
    </row>
    <row r="17" spans="1:22" customFormat="1" x14ac:dyDescent="0.2">
      <c r="A17" s="1"/>
      <c r="B17" s="3" t="s">
        <v>41</v>
      </c>
      <c r="C17" s="3" t="s">
        <v>142</v>
      </c>
      <c r="D17" s="4">
        <v>105.45763485714285</v>
      </c>
      <c r="E17" s="4">
        <v>4264.9639245714288</v>
      </c>
      <c r="F17" s="4">
        <v>-44.272116879659777</v>
      </c>
      <c r="G17" s="4">
        <v>5.027697933728394</v>
      </c>
      <c r="H17" s="4"/>
      <c r="I17" s="69">
        <f t="shared" si="1"/>
        <v>130.59329418826928</v>
      </c>
      <c r="J17" s="21">
        <f t="shared" si="1"/>
        <v>137.29594798740197</v>
      </c>
      <c r="K17" s="69">
        <f t="shared" si="0"/>
        <v>131.15961376410741</v>
      </c>
      <c r="L17" s="21">
        <f t="shared" si="0"/>
        <v>137.89133371154509</v>
      </c>
      <c r="M17" s="3"/>
      <c r="N17" s="3"/>
      <c r="O17" s="3"/>
      <c r="P17" s="3"/>
      <c r="Q17" s="3"/>
      <c r="R17" s="3"/>
      <c r="S17" s="3"/>
      <c r="T17" s="3"/>
      <c r="U17" s="3"/>
    </row>
    <row r="18" spans="1:22" customFormat="1" x14ac:dyDescent="0.2">
      <c r="A18" s="1"/>
      <c r="B18" s="3" t="s">
        <v>84</v>
      </c>
      <c r="C18" s="3" t="s">
        <v>143</v>
      </c>
      <c r="D18" s="4">
        <v>131.42573714285714</v>
      </c>
      <c r="E18" s="4">
        <v>4907.0761897142856</v>
      </c>
      <c r="F18" s="4">
        <v>-50.541799899680456</v>
      </c>
      <c r="G18" s="4">
        <v>5.7397052780027371</v>
      </c>
      <c r="H18" s="4"/>
      <c r="I18" s="70">
        <f t="shared" si="1"/>
        <v>160.59754486752809</v>
      </c>
      <c r="J18" s="71">
        <f t="shared" si="1"/>
        <v>168.40824568308417</v>
      </c>
      <c r="K18" s="70">
        <f t="shared" si="0"/>
        <v>161.29397827978971</v>
      </c>
      <c r="L18" s="71">
        <f t="shared" si="0"/>
        <v>169.13855030443318</v>
      </c>
      <c r="M18" s="3"/>
      <c r="N18" s="3"/>
      <c r="O18" s="3"/>
      <c r="P18" s="3"/>
      <c r="Q18" s="3"/>
      <c r="R18" s="3"/>
      <c r="S18" s="3"/>
      <c r="T18" s="3"/>
      <c r="U18" s="3"/>
    </row>
    <row r="19" spans="1:22" customFormat="1" x14ac:dyDescent="0.2">
      <c r="B19" s="1"/>
      <c r="C19" s="1"/>
      <c r="D19" s="1"/>
      <c r="E19" s="1"/>
      <c r="F19" s="1"/>
      <c r="G19" s="1"/>
      <c r="H19" s="65"/>
    </row>
    <row r="20" spans="1:22" customFormat="1" ht="15.75" x14ac:dyDescent="0.25">
      <c r="B20" s="8" t="s">
        <v>165</v>
      </c>
      <c r="C20" s="8"/>
      <c r="D20" s="8"/>
      <c r="E20" s="9"/>
      <c r="F20" s="9"/>
      <c r="G20" s="9"/>
      <c r="H20" s="9"/>
      <c r="I20" s="9"/>
      <c r="J20" s="9"/>
      <c r="K20" s="9"/>
      <c r="L20" s="9"/>
      <c r="M20" s="9"/>
      <c r="N20" s="9"/>
      <c r="O20" s="9"/>
      <c r="P20" s="9"/>
      <c r="Q20" s="9"/>
      <c r="R20" s="9"/>
      <c r="S20" s="9"/>
      <c r="T20" s="9"/>
      <c r="U20" s="9"/>
    </row>
    <row r="21" spans="1:22" customFormat="1" x14ac:dyDescent="0.2">
      <c r="B21" s="1"/>
      <c r="C21" s="1"/>
      <c r="D21" s="1"/>
      <c r="E21" s="1"/>
      <c r="F21" s="1"/>
      <c r="G21" s="1"/>
      <c r="H21" s="65"/>
    </row>
    <row r="22" spans="1:22" customFormat="1" ht="31.5" x14ac:dyDescent="0.25">
      <c r="B22" s="11" t="s">
        <v>166</v>
      </c>
      <c r="C22" s="11" t="s">
        <v>167</v>
      </c>
      <c r="D22" s="11" t="s">
        <v>145</v>
      </c>
      <c r="E22" s="11" t="s">
        <v>146</v>
      </c>
      <c r="F22" s="11" t="s">
        <v>147</v>
      </c>
      <c r="G22" s="11" t="s">
        <v>139</v>
      </c>
      <c r="H22" s="11" t="s">
        <v>140</v>
      </c>
      <c r="I22" s="12" t="s">
        <v>161</v>
      </c>
      <c r="J22" s="12" t="s">
        <v>162</v>
      </c>
      <c r="K22" s="12" t="s">
        <v>163</v>
      </c>
      <c r="L22" s="12" t="s">
        <v>164</v>
      </c>
      <c r="M22" s="11"/>
      <c r="N22" s="11"/>
      <c r="O22" s="11"/>
      <c r="P22" s="11"/>
      <c r="Q22" s="11"/>
      <c r="R22" s="11"/>
      <c r="S22" s="11"/>
      <c r="T22" s="11"/>
      <c r="U22" s="11"/>
    </row>
    <row r="23" spans="1:22" customFormat="1" x14ac:dyDescent="0.2">
      <c r="B23" s="3" t="s">
        <v>37</v>
      </c>
      <c r="C23" s="3" t="s">
        <v>12</v>
      </c>
      <c r="D23" s="4">
        <v>37.350886454183261</v>
      </c>
      <c r="E23" s="4">
        <v>-0.1866105577689243</v>
      </c>
      <c r="F23" s="4">
        <v>1.2788844621513943E-3</v>
      </c>
      <c r="G23" s="4">
        <v>-15.245690574975582</v>
      </c>
      <c r="H23" s="4">
        <v>3.6508330690930912</v>
      </c>
      <c r="I23" s="15">
        <f>$D23+$E23*I$8+$F23*I$8^2+$G23+$H23</f>
        <v>19.012044884555745</v>
      </c>
      <c r="J23" s="15">
        <f t="shared" ref="J23:J28" si="2">$D23+$E23*J$8+$F23*J$8^2+$G23+$H23</f>
        <v>19.163379545910331</v>
      </c>
      <c r="K23" s="19">
        <f t="shared" ref="K23:L28" si="3">I23*CPI_2020/CPI_2019</f>
        <v>19.094490872780185</v>
      </c>
      <c r="L23" s="68">
        <f t="shared" si="3"/>
        <v>19.246481798928155</v>
      </c>
      <c r="M23" s="13" t="s">
        <v>154</v>
      </c>
      <c r="N23" s="3"/>
      <c r="O23" s="3"/>
      <c r="P23" s="3"/>
      <c r="Q23" s="3"/>
      <c r="R23" s="3"/>
      <c r="S23" s="3"/>
      <c r="T23" s="3"/>
      <c r="U23" s="3"/>
    </row>
    <row r="24" spans="1:22" x14ac:dyDescent="0.2">
      <c r="B24" s="3" t="s">
        <v>122</v>
      </c>
      <c r="C24" s="3" t="s">
        <v>15</v>
      </c>
      <c r="D24" s="4">
        <v>66.977309142857138</v>
      </c>
      <c r="E24" s="4">
        <v>-0.32078514285714288</v>
      </c>
      <c r="F24" s="4">
        <v>2.778285714285714E-3</v>
      </c>
      <c r="G24" s="4">
        <v>-25.515508720288825</v>
      </c>
      <c r="H24" s="4">
        <v>3.133608875146713</v>
      </c>
      <c r="I24" s="15">
        <f t="shared" ref="I24:I28" si="4">$D24+$E24*I$8+$F24*I$8^2+$G24+$H24</f>
        <v>36.713626440572163</v>
      </c>
      <c r="J24" s="15">
        <f t="shared" si="2"/>
        <v>35.350129297715021</v>
      </c>
      <c r="K24" s="69">
        <f t="shared" si="3"/>
        <v>36.872835575180019</v>
      </c>
      <c r="L24" s="21">
        <f t="shared" si="3"/>
        <v>35.50342560863313</v>
      </c>
      <c r="M24" s="13" t="s">
        <v>149</v>
      </c>
      <c r="N24" s="3"/>
      <c r="O24" s="3"/>
      <c r="P24" s="3"/>
      <c r="Q24" s="3"/>
      <c r="R24" s="3"/>
      <c r="S24" s="3"/>
      <c r="T24" s="3"/>
      <c r="U24" s="3"/>
    </row>
    <row r="25" spans="1:22" customFormat="1" x14ac:dyDescent="0.2">
      <c r="B25" s="3" t="s">
        <v>123</v>
      </c>
      <c r="C25" s="3" t="s">
        <v>141</v>
      </c>
      <c r="D25" s="4">
        <v>87.932742857142856</v>
      </c>
      <c r="E25" s="4">
        <v>-0.59038571428571429</v>
      </c>
      <c r="F25" s="4">
        <v>5.663428571428571E-3</v>
      </c>
      <c r="G25" s="4">
        <v>-30.261687643137762</v>
      </c>
      <c r="H25" s="4">
        <v>3.5267284653353754</v>
      </c>
      <c r="I25" s="15">
        <f t="shared" si="4"/>
        <v>50.212869393626185</v>
      </c>
      <c r="J25" s="15">
        <f t="shared" si="2"/>
        <v>46.162983679340464</v>
      </c>
      <c r="K25" s="69">
        <f t="shared" si="3"/>
        <v>50.430618176772875</v>
      </c>
      <c r="L25" s="21">
        <f t="shared" si="3"/>
        <v>46.363170078643755</v>
      </c>
      <c r="M25" s="13" t="s">
        <v>150</v>
      </c>
      <c r="N25" s="3"/>
      <c r="O25" s="3"/>
      <c r="P25" s="3"/>
      <c r="Q25" s="3"/>
      <c r="R25" s="3"/>
      <c r="S25" s="3"/>
      <c r="T25" s="3"/>
      <c r="U25" s="3"/>
    </row>
    <row r="26" spans="1:22" customFormat="1" x14ac:dyDescent="0.2">
      <c r="B26" s="3" t="s">
        <v>40</v>
      </c>
      <c r="C26" s="3" t="s">
        <v>144</v>
      </c>
      <c r="D26" s="4">
        <v>133.25235314285715</v>
      </c>
      <c r="E26" s="4">
        <v>-0.69104514285714291</v>
      </c>
      <c r="F26" s="4">
        <v>5.0222857142857144E-3</v>
      </c>
      <c r="G26" s="4">
        <v>-44.440551597739962</v>
      </c>
      <c r="H26" s="4">
        <v>5.1376371928731865</v>
      </c>
      <c r="I26" s="15">
        <f t="shared" si="4"/>
        <v>70.808455880847518</v>
      </c>
      <c r="J26" s="15">
        <f t="shared" si="2"/>
        <v>70.566958737990362</v>
      </c>
      <c r="K26" s="69">
        <f t="shared" si="3"/>
        <v>71.115517701666462</v>
      </c>
      <c r="L26" s="21">
        <f t="shared" si="3"/>
        <v>70.872973303202812</v>
      </c>
      <c r="M26" s="13" t="s">
        <v>148</v>
      </c>
      <c r="N26" s="3"/>
      <c r="O26" s="3"/>
      <c r="P26" s="3"/>
      <c r="Q26" s="3"/>
      <c r="R26" s="3"/>
      <c r="S26" s="3"/>
      <c r="T26" s="3"/>
      <c r="U26" s="3"/>
    </row>
    <row r="27" spans="1:22" customFormat="1" x14ac:dyDescent="0.2">
      <c r="B27" s="3" t="s">
        <v>41</v>
      </c>
      <c r="C27" s="3" t="s">
        <v>142</v>
      </c>
      <c r="D27" s="4">
        <v>137.51221314285715</v>
      </c>
      <c r="E27" s="4">
        <v>-0.73496342857142849</v>
      </c>
      <c r="F27" s="4">
        <v>7.052571428571428E-3</v>
      </c>
      <c r="G27" s="4">
        <v>-44.272116879659777</v>
      </c>
      <c r="H27" s="4">
        <v>5.027697933728394</v>
      </c>
      <c r="I27" s="15">
        <f t="shared" si="4"/>
        <v>84.607177054068629</v>
      </c>
      <c r="J27" s="15">
        <f t="shared" si="2"/>
        <v>79.559245625497198</v>
      </c>
      <c r="K27" s="69">
        <f t="shared" si="3"/>
        <v>84.974077214754089</v>
      </c>
      <c r="L27" s="21">
        <f t="shared" si="3"/>
        <v>79.904255363682367</v>
      </c>
      <c r="M27" s="3"/>
      <c r="N27" s="3"/>
      <c r="O27" s="3"/>
      <c r="P27" s="3"/>
      <c r="Q27" s="3"/>
      <c r="R27" s="3"/>
      <c r="S27" s="3"/>
      <c r="T27" s="3"/>
      <c r="U27" s="3"/>
    </row>
    <row r="28" spans="1:22" customFormat="1" x14ac:dyDescent="0.2">
      <c r="B28" s="3" t="s">
        <v>84</v>
      </c>
      <c r="C28" s="3" t="s">
        <v>143</v>
      </c>
      <c r="D28" s="4">
        <v>161.85822399999998</v>
      </c>
      <c r="E28" s="4">
        <v>-0.77236342857142848</v>
      </c>
      <c r="F28" s="4">
        <v>7.2662857142857138E-3</v>
      </c>
      <c r="G28" s="4">
        <v>-50.541799899680456</v>
      </c>
      <c r="H28" s="4">
        <v>5.7397052780027371</v>
      </c>
      <c r="I28" s="15">
        <f t="shared" si="4"/>
        <v>101.77128366403656</v>
      </c>
      <c r="J28" s="15">
        <f t="shared" si="2"/>
        <v>96.872952235465107</v>
      </c>
      <c r="K28" s="70">
        <f t="shared" si="3"/>
        <v>102.21261620377653</v>
      </c>
      <c r="L28" s="71">
        <f t="shared" si="3"/>
        <v>97.293043095115863</v>
      </c>
      <c r="M28" s="3"/>
      <c r="N28" s="3"/>
      <c r="O28" s="3"/>
      <c r="P28" s="3"/>
      <c r="Q28" s="3"/>
      <c r="R28" s="3"/>
      <c r="S28" s="3"/>
      <c r="T28" s="3"/>
      <c r="U28" s="3"/>
    </row>
    <row r="29" spans="1:22" customFormat="1" x14ac:dyDescent="0.2">
      <c r="B29" s="1"/>
      <c r="C29" s="1"/>
      <c r="D29" s="1"/>
      <c r="E29" s="1"/>
      <c r="F29" s="1"/>
      <c r="G29" s="1"/>
      <c r="H29" s="1"/>
      <c r="I29" s="1"/>
      <c r="J29" s="1"/>
      <c r="K29" s="1"/>
      <c r="L29" s="1"/>
      <c r="M29" s="1"/>
      <c r="N29" s="1"/>
      <c r="O29" s="1"/>
      <c r="P29" s="1"/>
      <c r="Q29" s="1"/>
      <c r="R29" s="1"/>
    </row>
    <row r="30" spans="1:22" customFormat="1" x14ac:dyDescent="0.2">
      <c r="B30" s="1"/>
      <c r="C30" s="1"/>
      <c r="D30" s="65"/>
      <c r="E30" s="65"/>
      <c r="F30" s="65"/>
      <c r="G30" s="65"/>
      <c r="H30" s="65"/>
      <c r="I30" s="1"/>
      <c r="J30" s="1"/>
      <c r="K30" s="1"/>
      <c r="L30" s="1"/>
      <c r="M30" s="1"/>
      <c r="N30" s="1"/>
      <c r="O30" s="1"/>
      <c r="P30" s="1"/>
      <c r="Q30" s="1"/>
      <c r="R30" s="1"/>
    </row>
    <row r="31" spans="1:22" customFormat="1" x14ac:dyDescent="0.2">
      <c r="B31" s="1"/>
      <c r="C31" s="1"/>
      <c r="D31" s="1"/>
      <c r="E31" s="1"/>
      <c r="F31" s="1"/>
      <c r="G31" s="1"/>
      <c r="H31" s="1"/>
      <c r="I31" s="1"/>
      <c r="J31" s="1"/>
      <c r="K31" s="1"/>
      <c r="L31" s="1"/>
      <c r="M31" s="1"/>
      <c r="N31" s="1"/>
      <c r="O31" s="1"/>
      <c r="P31" s="1"/>
      <c r="Q31" s="1"/>
      <c r="R31" s="1"/>
      <c r="S31" s="1"/>
      <c r="T31" s="1"/>
      <c r="U31" s="1"/>
      <c r="V31" s="1"/>
    </row>
    <row r="32" spans="1:22" customFormat="1" x14ac:dyDescent="0.2">
      <c r="B32" s="1"/>
      <c r="C32" s="1"/>
      <c r="D32" s="1"/>
      <c r="E32" s="1"/>
    </row>
    <row r="33" spans="2:18" customFormat="1" x14ac:dyDescent="0.2">
      <c r="B33" s="1"/>
      <c r="C33" s="1"/>
      <c r="D33" s="1"/>
      <c r="E33" s="1"/>
    </row>
    <row r="34" spans="2:18" x14ac:dyDescent="0.2">
      <c r="F34" s="1"/>
      <c r="G34" s="1"/>
      <c r="H34" s="1"/>
      <c r="I34" s="1"/>
      <c r="J34" s="1"/>
      <c r="K34" s="1"/>
      <c r="L34" s="1"/>
      <c r="M34" s="1"/>
      <c r="N34" s="1"/>
      <c r="O34" s="1"/>
      <c r="P34" s="1"/>
      <c r="Q34" s="1"/>
      <c r="R34" s="1"/>
    </row>
    <row r="35" spans="2:18" x14ac:dyDescent="0.2">
      <c r="F35" s="1"/>
      <c r="G35" s="1"/>
      <c r="H35" s="1"/>
      <c r="I35" s="1"/>
      <c r="J35" s="1"/>
      <c r="K35" s="1"/>
      <c r="L35" s="1"/>
      <c r="M35" s="1"/>
      <c r="N35" s="1"/>
      <c r="O35" s="1"/>
      <c r="P35" s="1"/>
      <c r="Q35" s="1"/>
      <c r="R35" s="1"/>
    </row>
    <row r="36" spans="2:18" x14ac:dyDescent="0.2">
      <c r="F36" s="1"/>
      <c r="G36" s="1"/>
      <c r="H36" s="1"/>
      <c r="I36" s="1"/>
      <c r="J36" s="1"/>
      <c r="K36" s="1"/>
      <c r="L36" s="1"/>
      <c r="M36" s="1"/>
      <c r="N36" s="1"/>
      <c r="O36" s="1"/>
      <c r="P36" s="1"/>
      <c r="Q36" s="1"/>
      <c r="R36" s="1"/>
    </row>
    <row r="37" spans="2:18" x14ac:dyDescent="0.2">
      <c r="F37" s="1"/>
      <c r="G37" s="1"/>
      <c r="H37" s="1"/>
      <c r="I37" s="1"/>
      <c r="J37" s="1"/>
      <c r="K37" s="1"/>
      <c r="L37" s="1"/>
      <c r="M37" s="1"/>
      <c r="N37" s="1"/>
      <c r="O37" s="1"/>
      <c r="P37" s="1"/>
      <c r="Q37" s="1"/>
      <c r="R37" s="1"/>
    </row>
    <row r="38" spans="2:18" x14ac:dyDescent="0.2">
      <c r="F38" s="1"/>
      <c r="G38" s="1"/>
      <c r="H38" s="1"/>
      <c r="I38" s="1"/>
      <c r="J38" s="1"/>
      <c r="K38" s="1"/>
      <c r="L38" s="1"/>
      <c r="M38" s="1"/>
      <c r="N38" s="1"/>
      <c r="O38" s="1"/>
      <c r="P38" s="1"/>
      <c r="Q38" s="1"/>
      <c r="R38" s="1"/>
    </row>
    <row r="39" spans="2:18" x14ac:dyDescent="0.2">
      <c r="F39" s="1"/>
      <c r="G39" s="1"/>
      <c r="H39" s="1"/>
      <c r="I39" s="1"/>
      <c r="J39" s="1"/>
      <c r="K39" s="1"/>
      <c r="L39" s="1"/>
      <c r="M39" s="1"/>
      <c r="N39" s="1"/>
      <c r="O39" s="1"/>
      <c r="P39" s="1"/>
      <c r="Q39" s="1"/>
      <c r="R39" s="1"/>
    </row>
    <row r="40" spans="2:18" x14ac:dyDescent="0.2">
      <c r="F40" s="1"/>
      <c r="G40" s="1"/>
      <c r="H40" s="1"/>
      <c r="I40" s="1"/>
      <c r="J40" s="1"/>
      <c r="K40" s="1"/>
      <c r="L40" s="1"/>
      <c r="M40" s="1"/>
      <c r="N40" s="1"/>
      <c r="O40" s="1"/>
      <c r="P40" s="1"/>
      <c r="Q40" s="1"/>
      <c r="R40" s="1"/>
    </row>
    <row r="41" spans="2:18" x14ac:dyDescent="0.2">
      <c r="F41" s="1"/>
      <c r="G41" s="1"/>
      <c r="H41" s="1"/>
      <c r="I41" s="1"/>
      <c r="J41" s="1"/>
      <c r="K41" s="1"/>
      <c r="L41" s="1"/>
      <c r="M41" s="1"/>
      <c r="N41" s="1"/>
      <c r="O41" s="1"/>
      <c r="P41" s="1"/>
      <c r="Q41" s="1"/>
      <c r="R41" s="1"/>
    </row>
    <row r="42" spans="2:18" x14ac:dyDescent="0.2">
      <c r="F42" s="1"/>
      <c r="G42" s="1"/>
      <c r="H42" s="1"/>
      <c r="I42" s="1"/>
      <c r="J42" s="1"/>
      <c r="K42" s="1"/>
      <c r="L42" s="1"/>
      <c r="M42" s="1"/>
      <c r="N42" s="1"/>
      <c r="O42" s="1"/>
      <c r="P42" s="1"/>
      <c r="Q42" s="1"/>
      <c r="R42" s="1"/>
    </row>
    <row r="43" spans="2:18" x14ac:dyDescent="0.2">
      <c r="F43" s="1"/>
      <c r="G43" s="1"/>
      <c r="H43" s="1"/>
      <c r="I43" s="1"/>
      <c r="J43" s="1"/>
      <c r="K43" s="1"/>
      <c r="L43" s="1"/>
      <c r="M43" s="1"/>
      <c r="N43" s="1"/>
      <c r="O43" s="1"/>
      <c r="P43" s="1"/>
      <c r="Q43" s="1"/>
      <c r="R43" s="1"/>
    </row>
    <row r="44" spans="2:18" x14ac:dyDescent="0.2">
      <c r="F44" s="1"/>
      <c r="G44" s="1"/>
      <c r="H44" s="1"/>
      <c r="I44" s="1"/>
      <c r="J44" s="1"/>
      <c r="K44" s="1"/>
      <c r="L44" s="1"/>
      <c r="M44" s="1"/>
      <c r="N44" s="1"/>
      <c r="O44" s="1"/>
      <c r="P44" s="1"/>
      <c r="Q44" s="1"/>
      <c r="R44" s="1"/>
    </row>
    <row r="45" spans="2:18" x14ac:dyDescent="0.2">
      <c r="F45" s="1"/>
      <c r="G45" s="1"/>
      <c r="H45" s="1"/>
      <c r="I45" s="1"/>
      <c r="J45" s="1"/>
      <c r="K45" s="1"/>
      <c r="L45" s="1"/>
      <c r="M45" s="1"/>
      <c r="N45" s="1"/>
      <c r="O45" s="1"/>
      <c r="P45" s="1"/>
      <c r="Q45" s="1"/>
      <c r="R45" s="1"/>
    </row>
    <row r="46" spans="2:18" x14ac:dyDescent="0.2">
      <c r="F46" s="1"/>
      <c r="G46" s="1"/>
      <c r="H46" s="1"/>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EA9EE-4892-4435-BB18-8F8FAF358526}">
  <sheetPr>
    <tabColor rgb="FF99FFCC"/>
  </sheetPr>
  <dimension ref="A1:AA40"/>
  <sheetViews>
    <sheetView showGridLines="0" zoomScale="70" zoomScaleNormal="70" workbookViewId="0">
      <selection activeCell="E23" sqref="E23"/>
    </sheetView>
  </sheetViews>
  <sheetFormatPr defaultColWidth="8.88671875" defaultRowHeight="15" x14ac:dyDescent="0.2"/>
  <cols>
    <col min="1" max="1" width="18.5546875" style="1" customWidth="1"/>
    <col min="2" max="3" width="17.6640625" style="1" customWidth="1"/>
    <col min="4" max="4" width="18" style="1" customWidth="1"/>
    <col min="5" max="5" width="13.44140625" customWidth="1"/>
    <col min="6" max="11" width="8.109375" customWidth="1"/>
    <col min="12" max="12" width="14.6640625" customWidth="1"/>
    <col min="13" max="13" width="15.109375" customWidth="1"/>
    <col min="14" max="27" width="8.77734375" customWidth="1"/>
    <col min="28" max="16384" width="8.88671875" style="1"/>
  </cols>
  <sheetData>
    <row r="1" spans="1:22" ht="18" x14ac:dyDescent="0.25">
      <c r="A1" s="2" t="str">
        <f ca="1">MID(CELL("filename",A2),FIND("]",CELL("filename",A2))+1,256)</f>
        <v>Rural VOC</v>
      </c>
    </row>
    <row r="2" spans="1:22" x14ac:dyDescent="0.2">
      <c r="A2" s="6" t="s">
        <v>0</v>
      </c>
    </row>
    <row r="4" spans="1:22" ht="20.25" x14ac:dyDescent="0.3">
      <c r="B4" s="7" t="s">
        <v>151</v>
      </c>
      <c r="C4" s="7"/>
      <c r="D4" s="7"/>
      <c r="E4" s="7"/>
      <c r="F4" s="7"/>
      <c r="G4" s="7"/>
      <c r="H4" s="7"/>
      <c r="I4" s="7"/>
      <c r="J4" s="7"/>
      <c r="K4" s="7"/>
      <c r="L4" s="7"/>
      <c r="M4" s="7"/>
      <c r="N4" s="7"/>
      <c r="O4" s="7"/>
      <c r="P4" s="7"/>
      <c r="Q4" s="7"/>
      <c r="R4" s="7"/>
      <c r="S4" s="7"/>
      <c r="T4" s="7"/>
      <c r="U4" s="7"/>
    </row>
    <row r="5" spans="1:22" customFormat="1" x14ac:dyDescent="0.2">
      <c r="A5" s="1"/>
      <c r="B5" s="1"/>
      <c r="C5" s="1"/>
      <c r="D5" s="1"/>
      <c r="E5" s="1"/>
      <c r="F5" s="1"/>
      <c r="G5" s="1"/>
      <c r="H5" s="1"/>
      <c r="I5" s="1"/>
      <c r="J5" s="1"/>
      <c r="K5" s="1"/>
      <c r="L5" s="1"/>
      <c r="M5" s="1"/>
      <c r="N5" s="1"/>
      <c r="O5" s="1"/>
      <c r="P5" s="1"/>
      <c r="Q5" s="1"/>
      <c r="R5" s="1"/>
      <c r="S5" s="1"/>
      <c r="T5" s="1"/>
      <c r="U5" s="1"/>
    </row>
    <row r="6" spans="1:22" customFormat="1" ht="15.75" x14ac:dyDescent="0.25">
      <c r="A6" s="1"/>
      <c r="B6" s="8" t="s">
        <v>23</v>
      </c>
      <c r="C6" s="8"/>
      <c r="D6" s="9"/>
      <c r="E6" s="9"/>
      <c r="F6" s="9"/>
      <c r="G6" s="9"/>
      <c r="H6" s="9"/>
      <c r="I6" s="9"/>
      <c r="J6" s="9"/>
      <c r="K6" s="9"/>
      <c r="L6" s="9"/>
      <c r="M6" s="9"/>
      <c r="N6" s="9"/>
      <c r="O6" s="9"/>
      <c r="P6" s="9"/>
      <c r="Q6" s="9"/>
      <c r="R6" s="9"/>
      <c r="S6" s="9"/>
      <c r="T6" s="9"/>
      <c r="U6" s="9"/>
    </row>
    <row r="8" spans="1:22" ht="15.75" x14ac:dyDescent="0.25">
      <c r="B8" s="11"/>
      <c r="C8" s="11" t="s">
        <v>126</v>
      </c>
      <c r="D8" s="11" t="s">
        <v>125</v>
      </c>
      <c r="E8" s="11" t="s">
        <v>127</v>
      </c>
      <c r="F8" s="11" t="s">
        <v>85</v>
      </c>
      <c r="G8" s="1"/>
    </row>
    <row r="9" spans="1:22" x14ac:dyDescent="0.2">
      <c r="B9" s="3" t="s">
        <v>23</v>
      </c>
      <c r="C9" s="10">
        <v>0</v>
      </c>
      <c r="D9" s="10">
        <v>20</v>
      </c>
      <c r="E9" s="5">
        <f>Originalroute_Speed</f>
        <v>80</v>
      </c>
      <c r="F9" s="10">
        <v>3</v>
      </c>
      <c r="G9" s="1"/>
    </row>
    <row r="10" spans="1:22" x14ac:dyDescent="0.2">
      <c r="E10" s="1"/>
      <c r="F10" s="1"/>
      <c r="G10" s="1"/>
      <c r="H10" s="1"/>
      <c r="I10" s="1"/>
      <c r="J10" s="1"/>
    </row>
    <row r="11" spans="1:22" customFormat="1" ht="31.5" x14ac:dyDescent="0.25">
      <c r="A11" s="1"/>
      <c r="B11" s="11"/>
      <c r="C11" s="11" t="s">
        <v>135</v>
      </c>
      <c r="D11" s="11" t="s">
        <v>124</v>
      </c>
      <c r="E11" s="12" t="s">
        <v>5</v>
      </c>
      <c r="F11" s="11" t="s">
        <v>6</v>
      </c>
      <c r="G11" s="11" t="s">
        <v>7</v>
      </c>
      <c r="H11" s="11" t="s">
        <v>8</v>
      </c>
      <c r="I11" s="11" t="s">
        <v>9</v>
      </c>
      <c r="J11" s="11" t="s">
        <v>10</v>
      </c>
      <c r="K11" s="11" t="s">
        <v>11</v>
      </c>
      <c r="L11" s="12" t="s">
        <v>136</v>
      </c>
      <c r="M11" s="12" t="s">
        <v>153</v>
      </c>
      <c r="N11" s="11"/>
      <c r="O11" s="11"/>
      <c r="P11" s="11"/>
      <c r="Q11" s="11"/>
      <c r="R11" s="11"/>
      <c r="S11" s="11"/>
      <c r="T11" s="11"/>
      <c r="U11" s="11"/>
      <c r="V11" s="11"/>
    </row>
    <row r="12" spans="1:22" customFormat="1" x14ac:dyDescent="0.2">
      <c r="A12" s="1"/>
      <c r="B12" s="3" t="s">
        <v>37</v>
      </c>
      <c r="C12" s="10" t="s">
        <v>88</v>
      </c>
      <c r="D12" s="4">
        <v>1.2999999999999998</v>
      </c>
      <c r="E12" s="55">
        <f>SUMIFS('Rural VOC coefficients'!G$8:G$335,'Rural VOC coefficients'!$C$8:$C$335,'Rural VOC'!$C$9,'Rural VOC coefficients'!$D$8:$D$335,'Rural VOC'!$D$9,'Rural VOC coefficients'!$F$8:$F$335,'Rural VOC'!$C12)</f>
        <v>28.586790000000001</v>
      </c>
      <c r="F12" s="56">
        <f>SUMIFS('Rural VOC coefficients'!H$8:H$335,'Rural VOC coefficients'!$C$8:$C$335,'Rural VOC'!$C$9,'Rural VOC coefficients'!$D$8:$D$335,'Rural VOC'!$D$9,'Rural VOC coefficients'!$F$8:$F$335,'Rural VOC'!$C12)</f>
        <v>0.68912899999999999</v>
      </c>
      <c r="G12" s="56">
        <f>SUMIFS('Rural VOC coefficients'!I$8:I$335,'Rural VOC coefficients'!$C$8:$C$335,'Rural VOC'!$C$9,'Rural VOC coefficients'!$D$8:$D$335,'Rural VOC'!$D$9,'Rural VOC coefficients'!$F$8:$F$335,'Rural VOC'!$C12)</f>
        <v>10.27355</v>
      </c>
      <c r="H12" s="56">
        <f>SUMIFS('Rural VOC coefficients'!J$8:J$335,'Rural VOC coefficients'!$C$8:$C$335,'Rural VOC'!$C$9,'Rural VOC coefficients'!$D$8:$D$335,'Rural VOC'!$D$9,'Rural VOC coefficients'!$F$8:$F$335,'Rural VOC'!$C12)</f>
        <v>1.43E-5</v>
      </c>
      <c r="I12" s="56">
        <f>SUMIFS('Rural VOC coefficients'!K$8:K$335,'Rural VOC coefficients'!$C$8:$C$335,'Rural VOC'!$C$9,'Rural VOC coefficients'!$D$8:$D$335,'Rural VOC'!$D$9,'Rural VOC coefficients'!$F$8:$F$335,'Rural VOC'!$C12)</f>
        <v>2.7139E-2</v>
      </c>
      <c r="J12" s="56">
        <f>SUMIFS('Rural VOC coefficients'!L$8:L$335,'Rural VOC coefficients'!$C$8:$C$335,'Rural VOC'!$C$9,'Rural VOC coefficients'!$D$8:$D$335,'Rural VOC'!$D$9,'Rural VOC coefficients'!$F$8:$F$335,'Rural VOC'!$C12)</f>
        <v>9.4499999999999998E-4</v>
      </c>
      <c r="K12" s="57">
        <f>SUMIFS('Rural VOC coefficients'!M$8:M$335,'Rural VOC coefficients'!$C$8:$C$335,'Rural VOC'!$C$9,'Rural VOC coefficients'!$D$8:$D$335,'Rural VOC'!$D$9,'Rural VOC coefficients'!$F$8:$F$335,'Rural VOC'!$C12)</f>
        <v>3.0450999999999999E-2</v>
      </c>
      <c r="L12" s="72">
        <f t="shared" ref="L12:L17" si="0">E12*(F12+G12/$E$9+H12*$E$9^2+I12*$F$9+J12*$F$9^2+K12*D12)</f>
        <v>29.689573307123251</v>
      </c>
      <c r="M12" s="72">
        <f t="shared" ref="M12:M17" si="1">L12*CPI_2020/CPI_2013</f>
        <v>33.31446307136504</v>
      </c>
      <c r="N12" s="13" t="s">
        <v>13</v>
      </c>
      <c r="O12" s="3"/>
      <c r="P12" s="3"/>
      <c r="Q12" s="3"/>
      <c r="R12" s="3"/>
      <c r="S12" s="3"/>
      <c r="T12" s="3"/>
      <c r="U12" s="3"/>
      <c r="V12" s="3"/>
    </row>
    <row r="13" spans="1:22" customFormat="1" x14ac:dyDescent="0.2">
      <c r="A13" s="1"/>
      <c r="B13" s="3" t="s">
        <v>122</v>
      </c>
      <c r="C13" s="10" t="s">
        <v>93</v>
      </c>
      <c r="D13" s="4">
        <v>8.6000000000000014</v>
      </c>
      <c r="E13" s="58">
        <f>SUMIFS('Rural VOC coefficients'!G$8:G$335,'Rural VOC coefficients'!$C$8:$C$335,'Rural VOC'!$C$9,'Rural VOC coefficients'!$D$8:$D$335,'Rural VOC'!$D$9,'Rural VOC coefficients'!$F$8:$F$335,'Rural VOC'!$C13)</f>
        <v>51.70626</v>
      </c>
      <c r="F13" s="59">
        <f>SUMIFS('Rural VOC coefficients'!H$8:H$335,'Rural VOC coefficients'!$C$8:$C$335,'Rural VOC'!$C$9,'Rural VOC coefficients'!$D$8:$D$335,'Rural VOC'!$D$9,'Rural VOC coefficients'!$F$8:$F$335,'Rural VOC'!$C13)</f>
        <v>0.64653000000000005</v>
      </c>
      <c r="G13" s="59">
        <f>SUMIFS('Rural VOC coefficients'!I$8:I$335,'Rural VOC coefficients'!$C$8:$C$335,'Rural VOC'!$C$9,'Rural VOC coefficients'!$D$8:$D$335,'Rural VOC'!$D$9,'Rural VOC coefficients'!$F$8:$F$335,'Rural VOC'!$C13)</f>
        <v>8.3101330000000004</v>
      </c>
      <c r="H13" s="59">
        <f>SUMIFS('Rural VOC coefficients'!J$8:J$335,'Rural VOC coefficients'!$C$8:$C$335,'Rural VOC'!$C$9,'Rural VOC coefficients'!$D$8:$D$335,'Rural VOC'!$D$9,'Rural VOC coefficients'!$F$8:$F$335,'Rural VOC'!$C13)</f>
        <v>2.0800000000000001E-5</v>
      </c>
      <c r="I13" s="59">
        <f>SUMIFS('Rural VOC coefficients'!K$8:K$335,'Rural VOC coefficients'!$C$8:$C$335,'Rural VOC'!$C$9,'Rural VOC coefficients'!$D$8:$D$335,'Rural VOC'!$D$9,'Rural VOC coefficients'!$F$8:$F$335,'Rural VOC'!$C13)</f>
        <v>3.7527999999999999E-2</v>
      </c>
      <c r="J13" s="59">
        <f>SUMIFS('Rural VOC coefficients'!L$8:L$335,'Rural VOC coefficients'!$C$8:$C$335,'Rural VOC'!$C$9,'Rural VOC coefficients'!$D$8:$D$335,'Rural VOC'!$D$9,'Rural VOC coefficients'!$F$8:$F$335,'Rural VOC'!$C13)</f>
        <v>1.7619999999999999E-3</v>
      </c>
      <c r="K13" s="60">
        <f>SUMIFS('Rural VOC coefficients'!M$8:M$335,'Rural VOC coefficients'!$C$8:$C$335,'Rural VOC'!$C$9,'Rural VOC coefficients'!$D$8:$D$335,'Rural VOC'!$D$9,'Rural VOC coefficients'!$F$8:$F$335,'Rural VOC'!$C13)</f>
        <v>1.0923E-2</v>
      </c>
      <c r="L13" s="73">
        <f t="shared" si="0"/>
        <v>57.182287085705255</v>
      </c>
      <c r="M13" s="73">
        <f t="shared" si="1"/>
        <v>64.163845392680898</v>
      </c>
      <c r="N13" s="13" t="s">
        <v>14</v>
      </c>
      <c r="O13" s="3"/>
      <c r="P13" s="3"/>
      <c r="Q13" s="3"/>
      <c r="R13" s="3"/>
      <c r="S13" s="3"/>
      <c r="T13" s="3"/>
      <c r="U13" s="3"/>
      <c r="V13" s="3"/>
    </row>
    <row r="14" spans="1:22" customFormat="1" x14ac:dyDescent="0.2">
      <c r="A14" s="1"/>
      <c r="B14" s="3" t="s">
        <v>123</v>
      </c>
      <c r="C14" s="10" t="s">
        <v>94</v>
      </c>
      <c r="D14" s="4">
        <v>19.125</v>
      </c>
      <c r="E14" s="58">
        <f>SUMIFS('Rural VOC coefficients'!G$8:G$335,'Rural VOC coefficients'!$C$8:$C$335,'Rural VOC'!$C$9,'Rural VOC coefficients'!$D$8:$D$335,'Rural VOC'!$D$9,'Rural VOC coefficients'!$F$8:$F$335,'Rural VOC'!$C14)</f>
        <v>64.344629999999995</v>
      </c>
      <c r="F14" s="59">
        <f>SUMIFS('Rural VOC coefficients'!H$8:H$335,'Rural VOC coefficients'!$C$8:$C$335,'Rural VOC'!$C$9,'Rural VOC coefficients'!$D$8:$D$335,'Rural VOC'!$D$9,'Rural VOC coefficients'!$F$8:$F$335,'Rural VOC'!$C14)</f>
        <v>0.45218000000000003</v>
      </c>
      <c r="G14" s="59">
        <f>SUMIFS('Rural VOC coefficients'!I$8:I$335,'Rural VOC coefficients'!$C$8:$C$335,'Rural VOC'!$C$9,'Rural VOC coefficients'!$D$8:$D$335,'Rural VOC'!$D$9,'Rural VOC coefficients'!$F$8:$F$335,'Rural VOC'!$C14)</f>
        <v>10.40255</v>
      </c>
      <c r="H14" s="59">
        <f>SUMIFS('Rural VOC coefficients'!J$8:J$335,'Rural VOC coefficients'!$C$8:$C$335,'Rural VOC'!$C$9,'Rural VOC coefficients'!$D$8:$D$335,'Rural VOC'!$D$9,'Rural VOC coefficients'!$F$8:$F$335,'Rural VOC'!$C14)</f>
        <v>3.4199999999999998E-5</v>
      </c>
      <c r="I14" s="59">
        <f>SUMIFS('Rural VOC coefficients'!K$8:K$335,'Rural VOC coefficients'!$C$8:$C$335,'Rural VOC'!$C$9,'Rural VOC coefficients'!$D$8:$D$335,'Rural VOC'!$D$9,'Rural VOC coefficients'!$F$8:$F$335,'Rural VOC'!$C14)</f>
        <v>8.2006999999999997E-2</v>
      </c>
      <c r="J14" s="59">
        <f>SUMIFS('Rural VOC coefficients'!L$8:L$335,'Rural VOC coefficients'!$C$8:$C$335,'Rural VOC'!$C$9,'Rural VOC coefficients'!$D$8:$D$335,'Rural VOC'!$D$9,'Rural VOC coefficients'!$F$8:$F$335,'Rural VOC'!$C14)</f>
        <v>2.32E-4</v>
      </c>
      <c r="K14" s="60">
        <f>SUMIFS('Rural VOC coefficients'!M$8:M$335,'Rural VOC coefficients'!$C$8:$C$335,'Rural VOC'!$C$9,'Rural VOC coefficients'!$D$8:$D$335,'Rural VOC'!$D$9,'Rural VOC coefficients'!$F$8:$F$335,'Rural VOC'!$C14)</f>
        <v>6.5849999999999997E-3</v>
      </c>
      <c r="L14" s="73">
        <f t="shared" si="0"/>
        <v>75.613884153569998</v>
      </c>
      <c r="M14" s="73">
        <f t="shared" si="1"/>
        <v>84.845811869994236</v>
      </c>
      <c r="N14" s="13" t="s">
        <v>16</v>
      </c>
      <c r="O14" s="3"/>
      <c r="P14" s="3"/>
      <c r="Q14" s="3"/>
      <c r="R14" s="3"/>
      <c r="S14" s="3"/>
      <c r="T14" s="3"/>
      <c r="U14" s="3"/>
      <c r="V14" s="3"/>
    </row>
    <row r="15" spans="1:22" customFormat="1" x14ac:dyDescent="0.2">
      <c r="A15" s="1"/>
      <c r="B15" s="3" t="s">
        <v>40</v>
      </c>
      <c r="C15" s="10" t="s">
        <v>95</v>
      </c>
      <c r="D15" s="4">
        <v>17.25</v>
      </c>
      <c r="E15" s="58">
        <f>SUMIFS('Rural VOC coefficients'!G$8:G$335,'Rural VOC coefficients'!$C$8:$C$335,'Rural VOC'!$C$9,'Rural VOC coefficients'!$D$8:$D$335,'Rural VOC'!$D$9,'Rural VOC coefficients'!$F$8:$F$335,'Rural VOC'!$C15)</f>
        <v>100.1854</v>
      </c>
      <c r="F15" s="59">
        <f>SUMIFS('Rural VOC coefficients'!H$8:H$335,'Rural VOC coefficients'!$C$8:$C$335,'Rural VOC'!$C$9,'Rural VOC coefficients'!$D$8:$D$335,'Rural VOC'!$D$9,'Rural VOC coefficients'!$F$8:$F$335,'Rural VOC'!$C15)</f>
        <v>0.599271</v>
      </c>
      <c r="G15" s="59">
        <f>SUMIFS('Rural VOC coefficients'!I$8:I$335,'Rural VOC coefficients'!$C$8:$C$335,'Rural VOC'!$C$9,'Rural VOC coefficients'!$D$8:$D$335,'Rural VOC'!$D$9,'Rural VOC coefficients'!$F$8:$F$335,'Rural VOC'!$C15)</f>
        <v>9.0398049999999994</v>
      </c>
      <c r="H15" s="59">
        <f>SUMIFS('Rural VOC coefficients'!J$8:J$335,'Rural VOC coefficients'!$C$8:$C$335,'Rural VOC'!$C$9,'Rural VOC coefficients'!$D$8:$D$335,'Rural VOC'!$D$9,'Rural VOC coefficients'!$F$8:$F$335,'Rural VOC'!$C15)</f>
        <v>1.1399999999999999E-5</v>
      </c>
      <c r="I15" s="59">
        <f>SUMIFS('Rural VOC coefficients'!K$8:K$335,'Rural VOC coefficients'!$C$8:$C$335,'Rural VOC'!$C$9,'Rural VOC coefficients'!$D$8:$D$335,'Rural VOC'!$D$9,'Rural VOC coefficients'!$F$8:$F$335,'Rural VOC'!$C15)</f>
        <v>6.6026000000000001E-2</v>
      </c>
      <c r="J15" s="59">
        <f>SUMIFS('Rural VOC coefficients'!L$8:L$335,'Rural VOC coefficients'!$C$8:$C$335,'Rural VOC'!$C$9,'Rural VOC coefficients'!$D$8:$D$335,'Rural VOC'!$D$9,'Rural VOC coefficients'!$F$8:$F$335,'Rural VOC'!$C15)</f>
        <v>1.052E-3</v>
      </c>
      <c r="K15" s="60">
        <f>SUMIFS('Rural VOC coefficients'!M$8:M$335,'Rural VOC coefficients'!$C$8:$C$335,'Rural VOC'!$C$9,'Rural VOC coefficients'!$D$8:$D$335,'Rural VOC'!$D$9,'Rural VOC coefficients'!$F$8:$F$335,'Rural VOC'!$C15)</f>
        <v>4.4380000000000001E-3</v>
      </c>
      <c r="L15" s="73">
        <f t="shared" si="0"/>
        <v>107.13126004358752</v>
      </c>
      <c r="M15" s="73">
        <f t="shared" si="1"/>
        <v>120.21123946751389</v>
      </c>
      <c r="N15" s="13" t="s">
        <v>17</v>
      </c>
      <c r="O15" s="3"/>
      <c r="P15" s="3"/>
      <c r="Q15" s="3"/>
      <c r="R15" s="3"/>
      <c r="S15" s="3"/>
      <c r="T15" s="3"/>
      <c r="U15" s="3"/>
      <c r="V15" s="3"/>
    </row>
    <row r="16" spans="1:22" customFormat="1" x14ac:dyDescent="0.2">
      <c r="A16" s="1"/>
      <c r="B16" s="3" t="s">
        <v>41</v>
      </c>
      <c r="C16" s="10" t="s">
        <v>98</v>
      </c>
      <c r="D16" s="4">
        <v>35.625</v>
      </c>
      <c r="E16" s="58">
        <f>SUMIFS('Rural VOC coefficients'!G$8:G$335,'Rural VOC coefficients'!$C$8:$C$335,'Rural VOC'!$C$9,'Rural VOC coefficients'!$D$8:$D$335,'Rural VOC'!$D$9,'Rural VOC coefficients'!$F$8:$F$335,'Rural VOC'!$C16)</f>
        <v>103.6022</v>
      </c>
      <c r="F16" s="59">
        <f>SUMIFS('Rural VOC coefficients'!H$8:H$335,'Rural VOC coefficients'!$C$8:$C$335,'Rural VOC'!$C$9,'Rural VOC coefficients'!$D$8:$D$335,'Rural VOC'!$D$9,'Rural VOC coefficients'!$F$8:$F$335,'Rural VOC'!$C16)</f>
        <v>0.49192200000000003</v>
      </c>
      <c r="G16" s="59">
        <f>SUMIFS('Rural VOC coefficients'!I$8:I$335,'Rural VOC coefficients'!$C$8:$C$335,'Rural VOC'!$C$9,'Rural VOC coefficients'!$D$8:$D$335,'Rural VOC'!$D$9,'Rural VOC coefficients'!$F$8:$F$335,'Rural VOC'!$C16)</f>
        <v>8.5864209999999996</v>
      </c>
      <c r="H16" s="59">
        <f>SUMIFS('Rural VOC coefficients'!J$8:J$335,'Rural VOC coefficients'!$C$8:$C$335,'Rural VOC'!$C$9,'Rural VOC coefficients'!$D$8:$D$335,'Rural VOC'!$D$9,'Rural VOC coefficients'!$F$8:$F$335,'Rural VOC'!$C16)</f>
        <v>2.8E-5</v>
      </c>
      <c r="I16" s="59">
        <f>SUMIFS('Rural VOC coefficients'!K$8:K$335,'Rural VOC coefficients'!$C$8:$C$335,'Rural VOC'!$C$9,'Rural VOC coefficients'!$D$8:$D$335,'Rural VOC'!$D$9,'Rural VOC coefficients'!$F$8:$F$335,'Rural VOC'!$C16)</f>
        <v>8.5236999999999993E-2</v>
      </c>
      <c r="J16" s="59">
        <f>SUMIFS('Rural VOC coefficients'!L$8:L$335,'Rural VOC coefficients'!$C$8:$C$335,'Rural VOC'!$C$9,'Rural VOC coefficients'!$D$8:$D$335,'Rural VOC'!$D$9,'Rural VOC coefficients'!$F$8:$F$335,'Rural VOC'!$C16)</f>
        <v>3.6699999999999998E-4</v>
      </c>
      <c r="K16" s="60">
        <f>SUMIFS('Rural VOC coefficients'!M$8:M$335,'Rural VOC coefficients'!$C$8:$C$335,'Rural VOC'!$C$9,'Rural VOC coefficients'!$D$8:$D$335,'Rural VOC'!$D$9,'Rural VOC coefficients'!$F$8:$F$335,'Rural VOC'!$C16)</f>
        <v>4.0819999999999997E-3</v>
      </c>
      <c r="L16" s="73">
        <f t="shared" si="0"/>
        <v>122.54974864752752</v>
      </c>
      <c r="M16" s="73">
        <f t="shared" si="1"/>
        <v>137.51221795914427</v>
      </c>
      <c r="N16" s="13" t="s">
        <v>133</v>
      </c>
      <c r="O16" s="3"/>
      <c r="P16" s="3"/>
      <c r="Q16" s="3"/>
      <c r="R16" s="3"/>
      <c r="S16" s="3"/>
      <c r="T16" s="3"/>
      <c r="U16" s="3"/>
      <c r="V16" s="3"/>
    </row>
    <row r="17" spans="1:22" customFormat="1" x14ac:dyDescent="0.2">
      <c r="A17" s="1"/>
      <c r="B17" s="3" t="s">
        <v>84</v>
      </c>
      <c r="C17" s="10" t="s">
        <v>100</v>
      </c>
      <c r="D17" s="4">
        <v>52.375</v>
      </c>
      <c r="E17" s="61">
        <f>SUMIFS('Rural VOC coefficients'!G$8:G$335,'Rural VOC coefficients'!$C$8:$C$335,'Rural VOC'!$C$9,'Rural VOC coefficients'!$D$8:$D$335,'Rural VOC'!$D$9,'Rural VOC coefficients'!$F$8:$F$335,'Rural VOC'!$C17)</f>
        <v>121.4093</v>
      </c>
      <c r="F17" s="62">
        <f>SUMIFS('Rural VOC coefficients'!H$8:H$335,'Rural VOC coefficients'!$C$8:$C$335,'Rural VOC'!$C$9,'Rural VOC coefficients'!$D$8:$D$335,'Rural VOC'!$D$9,'Rural VOC coefficients'!$F$8:$F$335,'Rural VOC'!$C17)</f>
        <v>0.483655</v>
      </c>
      <c r="G17" s="62">
        <f>SUMIFS('Rural VOC coefficients'!I$8:I$335,'Rural VOC coefficients'!$C$8:$C$335,'Rural VOC'!$C$9,'Rural VOC coefficients'!$D$8:$D$335,'Rural VOC'!$D$9,'Rural VOC coefficients'!$F$8:$F$335,'Rural VOC'!$C17)</f>
        <v>7.8763439999999996</v>
      </c>
      <c r="H17" s="62">
        <f>SUMIFS('Rural VOC coefficients'!J$8:J$335,'Rural VOC coefficients'!$C$8:$C$335,'Rural VOC'!$C$9,'Rural VOC coefficients'!$D$8:$D$335,'Rural VOC'!$D$9,'Rural VOC coefficients'!$F$8:$F$335,'Rural VOC'!$C17)</f>
        <v>2.41E-5</v>
      </c>
      <c r="I17" s="62">
        <f>SUMIFS('Rural VOC coefficients'!K$8:K$335,'Rural VOC coefficients'!$C$8:$C$335,'Rural VOC'!$C$9,'Rural VOC coefficients'!$D$8:$D$335,'Rural VOC'!$D$9,'Rural VOC coefficients'!$F$8:$F$335,'Rural VOC'!$C17)</f>
        <v>9.1051000000000007E-2</v>
      </c>
      <c r="J17" s="62">
        <f>SUMIFS('Rural VOC coefficients'!L$8:L$335,'Rural VOC coefficients'!$C$8:$C$335,'Rural VOC'!$C$9,'Rural VOC coefficients'!$D$8:$D$335,'Rural VOC'!$D$9,'Rural VOC coefficients'!$F$8:$F$335,'Rural VOC'!$C17)</f>
        <v>1.4799999999999999E-4</v>
      </c>
      <c r="K17" s="63">
        <f>SUMIFS('Rural VOC coefficients'!M$8:M$335,'Rural VOC coefficients'!$C$8:$C$335,'Rural VOC'!$C$9,'Rural VOC coefficients'!$D$8:$D$335,'Rural VOC'!$D$9,'Rural VOC coefficients'!$F$8:$F$335,'Rural VOC'!$C17)</f>
        <v>3.5669999999999999E-3</v>
      </c>
      <c r="L17" s="74">
        <f t="shared" si="0"/>
        <v>145.40656749510248</v>
      </c>
      <c r="M17" s="74">
        <f t="shared" si="1"/>
        <v>163.15969492183009</v>
      </c>
      <c r="N17" s="3"/>
      <c r="O17" s="3"/>
      <c r="P17" s="3"/>
      <c r="Q17" s="3"/>
      <c r="R17" s="3"/>
      <c r="S17" s="3"/>
      <c r="T17" s="3"/>
      <c r="U17" s="3"/>
      <c r="V17" s="3"/>
    </row>
    <row r="18" spans="1:22" customFormat="1" x14ac:dyDescent="0.2"/>
    <row r="19" spans="1:22" customFormat="1" ht="15.75" x14ac:dyDescent="0.25">
      <c r="A19" s="1"/>
      <c r="B19" s="8" t="s">
        <v>134</v>
      </c>
      <c r="C19" s="8"/>
      <c r="D19" s="9"/>
      <c r="E19" s="9"/>
      <c r="F19" s="9"/>
      <c r="G19" s="9"/>
      <c r="H19" s="9"/>
      <c r="I19" s="9"/>
      <c r="J19" s="9"/>
      <c r="K19" s="9"/>
      <c r="L19" s="9"/>
      <c r="M19" s="9"/>
      <c r="N19" s="9"/>
      <c r="O19" s="9"/>
      <c r="P19" s="9"/>
      <c r="Q19" s="9"/>
      <c r="R19" s="9"/>
      <c r="S19" s="9"/>
      <c r="T19" s="9"/>
      <c r="U19" s="9"/>
    </row>
    <row r="20" spans="1:22" customFormat="1" x14ac:dyDescent="0.2">
      <c r="A20" s="1"/>
      <c r="B20" s="1"/>
      <c r="C20" s="1"/>
      <c r="D20" s="1"/>
      <c r="G20" s="1"/>
      <c r="H20" s="1"/>
      <c r="I20" s="1"/>
    </row>
    <row r="21" spans="1:22" ht="15.75" x14ac:dyDescent="0.25">
      <c r="B21" s="11"/>
      <c r="C21" s="11" t="s">
        <v>126</v>
      </c>
      <c r="D21" s="11" t="s">
        <v>125</v>
      </c>
      <c r="E21" s="11" t="s">
        <v>127</v>
      </c>
      <c r="F21" s="11" t="s">
        <v>85</v>
      </c>
      <c r="G21" s="1"/>
    </row>
    <row r="22" spans="1:22" x14ac:dyDescent="0.2">
      <c r="B22" s="3" t="s">
        <v>23</v>
      </c>
      <c r="C22" s="10">
        <v>0</v>
      </c>
      <c r="D22" s="10">
        <v>20</v>
      </c>
      <c r="E22" s="5">
        <f>Detour_Speed</f>
        <v>60</v>
      </c>
      <c r="F22" s="10">
        <v>3</v>
      </c>
      <c r="G22" s="1"/>
    </row>
    <row r="23" spans="1:22" x14ac:dyDescent="0.2">
      <c r="E23" s="1"/>
      <c r="F23" s="1"/>
      <c r="G23" s="1"/>
    </row>
    <row r="24" spans="1:22" ht="31.5" x14ac:dyDescent="0.25">
      <c r="B24" s="11"/>
      <c r="C24" s="11" t="s">
        <v>135</v>
      </c>
      <c r="D24" s="11" t="s">
        <v>124</v>
      </c>
      <c r="E24" s="12" t="s">
        <v>5</v>
      </c>
      <c r="F24" s="11" t="s">
        <v>6</v>
      </c>
      <c r="G24" s="11" t="s">
        <v>7</v>
      </c>
      <c r="H24" s="11" t="s">
        <v>8</v>
      </c>
      <c r="I24" s="11" t="s">
        <v>9</v>
      </c>
      <c r="J24" s="11" t="s">
        <v>10</v>
      </c>
      <c r="K24" s="11" t="s">
        <v>11</v>
      </c>
      <c r="L24" s="12" t="s">
        <v>136</v>
      </c>
      <c r="M24" s="12" t="s">
        <v>153</v>
      </c>
      <c r="N24" s="11"/>
      <c r="O24" s="11"/>
      <c r="P24" s="11"/>
      <c r="Q24" s="11"/>
      <c r="R24" s="11"/>
      <c r="S24" s="11"/>
      <c r="T24" s="11"/>
      <c r="U24" s="11"/>
      <c r="V24" s="11"/>
    </row>
    <row r="25" spans="1:22" x14ac:dyDescent="0.2">
      <c r="B25" s="3" t="str">
        <f>B12</f>
        <v>Light vehicles</v>
      </c>
      <c r="C25" s="3" t="str">
        <f t="shared" ref="C25:D30" si="2">C12</f>
        <v>02. Medium Car</v>
      </c>
      <c r="D25" s="5">
        <f>D12</f>
        <v>1.2999999999999998</v>
      </c>
      <c r="E25" s="55">
        <f>SUMIFS('Rural VOC coefficients'!G$8:G$335,'Rural VOC coefficients'!$C$8:$C$335,'Rural VOC'!$C$22,'Rural VOC coefficients'!$D$8:$D$335,'Rural VOC'!$D$22,'Rural VOC coefficients'!$F$8:$F$335,'Rural VOC'!$C25)</f>
        <v>28.586790000000001</v>
      </c>
      <c r="F25" s="56">
        <f>SUMIFS('Rural VOC coefficients'!H$8:H$335,'Rural VOC coefficients'!$C$8:$C$335,'Rural VOC'!$C$22,'Rural VOC coefficients'!$D$8:$D$335,'Rural VOC'!$D$22,'Rural VOC coefficients'!$F$8:$F$335,'Rural VOC'!$C25)</f>
        <v>0.68912899999999999</v>
      </c>
      <c r="G25" s="56">
        <f>SUMIFS('Rural VOC coefficients'!I$8:I$335,'Rural VOC coefficients'!$C$8:$C$335,'Rural VOC'!$C$22,'Rural VOC coefficients'!$D$8:$D$335,'Rural VOC'!$D$22,'Rural VOC coefficients'!$F$8:$F$335,'Rural VOC'!$C25)</f>
        <v>10.27355</v>
      </c>
      <c r="H25" s="56">
        <f>SUMIFS('Rural VOC coefficients'!J$8:J$335,'Rural VOC coefficients'!$C$8:$C$335,'Rural VOC'!$C$22,'Rural VOC coefficients'!$D$8:$D$335,'Rural VOC'!$D$22,'Rural VOC coefficients'!$F$8:$F$335,'Rural VOC'!$C25)</f>
        <v>1.43E-5</v>
      </c>
      <c r="I25" s="56">
        <f>SUMIFS('Rural VOC coefficients'!K$8:K$335,'Rural VOC coefficients'!$C$8:$C$335,'Rural VOC'!$C$22,'Rural VOC coefficients'!$D$8:$D$335,'Rural VOC'!$D$22,'Rural VOC coefficients'!$F$8:$F$335,'Rural VOC'!$C25)</f>
        <v>2.7139E-2</v>
      </c>
      <c r="J25" s="56">
        <f>SUMIFS('Rural VOC coefficients'!L$8:L$335,'Rural VOC coefficients'!$C$8:$C$335,'Rural VOC'!$C$22,'Rural VOC coefficients'!$D$8:$D$335,'Rural VOC'!$D$22,'Rural VOC coefficients'!$F$8:$F$335,'Rural VOC'!$C25)</f>
        <v>9.4499999999999998E-4</v>
      </c>
      <c r="K25" s="57">
        <f>SUMIFS('Rural VOC coefficients'!M$8:M$335,'Rural VOC coefficients'!$C$8:$C$335,'Rural VOC'!$C$22,'Rural VOC coefficients'!$D$8:$D$335,'Rural VOC'!$D$22,'Rural VOC coefficients'!$F$8:$F$335,'Rural VOC'!$C25)</f>
        <v>3.0450999999999999E-2</v>
      </c>
      <c r="L25" s="72">
        <f>E25*(F25+G25/$E$22+H25*$E$22^2+I25*$F$22+J25*$F$22^2+K25*D25)</f>
        <v>29.768657470542003</v>
      </c>
      <c r="M25" s="72">
        <f t="shared" ref="M25:M30" si="3">L25*CPI_2020/CPI_2013</f>
        <v>33.403202859387243</v>
      </c>
      <c r="N25" s="13" t="s">
        <v>13</v>
      </c>
      <c r="O25" s="3"/>
      <c r="P25" s="3"/>
      <c r="Q25" s="3"/>
      <c r="R25" s="3"/>
      <c r="S25" s="3"/>
      <c r="T25" s="3"/>
      <c r="U25" s="3"/>
      <c r="V25" s="3"/>
    </row>
    <row r="26" spans="1:22" x14ac:dyDescent="0.2">
      <c r="B26" s="3" t="str">
        <f t="shared" ref="B26" si="4">B13</f>
        <v>2 axle rigids</v>
      </c>
      <c r="C26" s="3" t="str">
        <f t="shared" si="2"/>
        <v>07. Medium Rigid</v>
      </c>
      <c r="D26" s="5">
        <f t="shared" si="2"/>
        <v>8.6000000000000014</v>
      </c>
      <c r="E26" s="58">
        <f>SUMIFS('Rural VOC coefficients'!G$8:G$335,'Rural VOC coefficients'!$C$8:$C$335,'Rural VOC'!$C$22,'Rural VOC coefficients'!$D$8:$D$335,'Rural VOC'!$D$22,'Rural VOC coefficients'!$F$8:$F$335,'Rural VOC'!$C26)</f>
        <v>51.70626</v>
      </c>
      <c r="F26" s="59">
        <f>SUMIFS('Rural VOC coefficients'!H$8:H$335,'Rural VOC coefficients'!$C$8:$C$335,'Rural VOC'!$C$22,'Rural VOC coefficients'!$D$8:$D$335,'Rural VOC'!$D$22,'Rural VOC coefficients'!$F$8:$F$335,'Rural VOC'!$C26)</f>
        <v>0.64653000000000005</v>
      </c>
      <c r="G26" s="59">
        <f>SUMIFS('Rural VOC coefficients'!I$8:I$335,'Rural VOC coefficients'!$C$8:$C$335,'Rural VOC'!$C$22,'Rural VOC coefficients'!$D$8:$D$335,'Rural VOC'!$D$22,'Rural VOC coefficients'!$F$8:$F$335,'Rural VOC'!$C26)</f>
        <v>8.3101330000000004</v>
      </c>
      <c r="H26" s="59">
        <f>SUMIFS('Rural VOC coefficients'!J$8:J$335,'Rural VOC coefficients'!$C$8:$C$335,'Rural VOC'!$C$22,'Rural VOC coefficients'!$D$8:$D$335,'Rural VOC'!$D$22,'Rural VOC coefficients'!$F$8:$F$335,'Rural VOC'!$C26)</f>
        <v>2.0800000000000001E-5</v>
      </c>
      <c r="I26" s="59">
        <f>SUMIFS('Rural VOC coefficients'!K$8:K$335,'Rural VOC coefficients'!$C$8:$C$335,'Rural VOC'!$C$22,'Rural VOC coefficients'!$D$8:$D$335,'Rural VOC'!$D$22,'Rural VOC coefficients'!$F$8:$F$335,'Rural VOC'!$C26)</f>
        <v>3.7527999999999999E-2</v>
      </c>
      <c r="J26" s="59">
        <f>SUMIFS('Rural VOC coefficients'!L$8:L$335,'Rural VOC coefficients'!$C$8:$C$335,'Rural VOC'!$C$22,'Rural VOC coefficients'!$D$8:$D$335,'Rural VOC'!$D$22,'Rural VOC coefficients'!$F$8:$F$335,'Rural VOC'!$C26)</f>
        <v>1.7619999999999999E-3</v>
      </c>
      <c r="K26" s="60">
        <f>SUMIFS('Rural VOC coefficients'!M$8:M$335,'Rural VOC coefficients'!$C$8:$C$335,'Rural VOC'!$C$22,'Rural VOC coefficients'!$D$8:$D$335,'Rural VOC'!$D$22,'Rural VOC coefficients'!$F$8:$F$335,'Rural VOC'!$C26)</f>
        <v>1.0923E-2</v>
      </c>
      <c r="L26" s="73">
        <f t="shared" ref="L26:L30" si="5">E26*(F26+G26/$E$22+H26*$E$22^2+I26*$F$22+J26*$F$22^2+K26*D26)</f>
        <v>55.961272409691013</v>
      </c>
      <c r="M26" s="73">
        <f t="shared" si="3"/>
        <v>62.79375334343235</v>
      </c>
      <c r="N26" s="13" t="s">
        <v>14</v>
      </c>
      <c r="O26" s="3"/>
      <c r="P26" s="3"/>
      <c r="Q26" s="3"/>
      <c r="R26" s="3"/>
      <c r="S26" s="3"/>
      <c r="T26" s="3"/>
      <c r="U26" s="3"/>
      <c r="V26" s="3"/>
    </row>
    <row r="27" spans="1:22" x14ac:dyDescent="0.2">
      <c r="B27" s="3" t="str">
        <f t="shared" ref="B27" si="6">B14</f>
        <v>3 axle rigids</v>
      </c>
      <c r="C27" s="3" t="str">
        <f t="shared" si="2"/>
        <v>08. Heavy Rigid</v>
      </c>
      <c r="D27" s="5">
        <f t="shared" si="2"/>
        <v>19.125</v>
      </c>
      <c r="E27" s="58">
        <f>SUMIFS('Rural VOC coefficients'!G$8:G$335,'Rural VOC coefficients'!$C$8:$C$335,'Rural VOC'!$C$22,'Rural VOC coefficients'!$D$8:$D$335,'Rural VOC'!$D$22,'Rural VOC coefficients'!$F$8:$F$335,'Rural VOC'!$C27)</f>
        <v>64.344629999999995</v>
      </c>
      <c r="F27" s="59">
        <f>SUMIFS('Rural VOC coefficients'!H$8:H$335,'Rural VOC coefficients'!$C$8:$C$335,'Rural VOC'!$C$22,'Rural VOC coefficients'!$D$8:$D$335,'Rural VOC'!$D$22,'Rural VOC coefficients'!$F$8:$F$335,'Rural VOC'!$C27)</f>
        <v>0.45218000000000003</v>
      </c>
      <c r="G27" s="59">
        <f>SUMIFS('Rural VOC coefficients'!I$8:I$335,'Rural VOC coefficients'!$C$8:$C$335,'Rural VOC'!$C$22,'Rural VOC coefficients'!$D$8:$D$335,'Rural VOC'!$D$22,'Rural VOC coefficients'!$F$8:$F$335,'Rural VOC'!$C27)</f>
        <v>10.40255</v>
      </c>
      <c r="H27" s="59">
        <f>SUMIFS('Rural VOC coefficients'!J$8:J$335,'Rural VOC coefficients'!$C$8:$C$335,'Rural VOC'!$C$22,'Rural VOC coefficients'!$D$8:$D$335,'Rural VOC'!$D$22,'Rural VOC coefficients'!$F$8:$F$335,'Rural VOC'!$C27)</f>
        <v>3.4199999999999998E-5</v>
      </c>
      <c r="I27" s="59">
        <f>SUMIFS('Rural VOC coefficients'!K$8:K$335,'Rural VOC coefficients'!$C$8:$C$335,'Rural VOC'!$C$22,'Rural VOC coefficients'!$D$8:$D$335,'Rural VOC'!$D$22,'Rural VOC coefficients'!$F$8:$F$335,'Rural VOC'!$C27)</f>
        <v>8.2006999999999997E-2</v>
      </c>
      <c r="J27" s="59">
        <f>SUMIFS('Rural VOC coefficients'!L$8:L$335,'Rural VOC coefficients'!$C$8:$C$335,'Rural VOC'!$C$22,'Rural VOC coefficients'!$D$8:$D$335,'Rural VOC'!$D$22,'Rural VOC coefficients'!$F$8:$F$335,'Rural VOC'!$C27)</f>
        <v>2.32E-4</v>
      </c>
      <c r="K27" s="60">
        <f>SUMIFS('Rural VOC coefficients'!M$8:M$335,'Rural VOC coefficients'!$C$8:$C$335,'Rural VOC'!$C$22,'Rural VOC coefficients'!$D$8:$D$335,'Rural VOC'!$D$22,'Rural VOC coefficients'!$F$8:$F$335,'Rural VOC'!$C27)</f>
        <v>6.5849999999999997E-3</v>
      </c>
      <c r="L27" s="73">
        <f t="shared" si="5"/>
        <v>72.241193346463731</v>
      </c>
      <c r="M27" s="73">
        <f t="shared" si="3"/>
        <v>81.061339045741263</v>
      </c>
      <c r="N27" s="13" t="s">
        <v>16</v>
      </c>
      <c r="O27" s="3"/>
      <c r="P27" s="3"/>
      <c r="Q27" s="3"/>
      <c r="R27" s="3"/>
      <c r="S27" s="3"/>
      <c r="T27" s="3"/>
      <c r="U27" s="3"/>
      <c r="V27" s="3"/>
    </row>
    <row r="28" spans="1:22" x14ac:dyDescent="0.2">
      <c r="B28" s="3" t="str">
        <f t="shared" ref="B28" si="7">B15</f>
        <v>Buses</v>
      </c>
      <c r="C28" s="3" t="str">
        <f t="shared" si="2"/>
        <v xml:space="preserve">09. Heavy Bus </v>
      </c>
      <c r="D28" s="5">
        <f t="shared" si="2"/>
        <v>17.25</v>
      </c>
      <c r="E28" s="58">
        <f>SUMIFS('Rural VOC coefficients'!G$8:G$335,'Rural VOC coefficients'!$C$8:$C$335,'Rural VOC'!$C$22,'Rural VOC coefficients'!$D$8:$D$335,'Rural VOC'!$D$22,'Rural VOC coefficients'!$F$8:$F$335,'Rural VOC'!$C28)</f>
        <v>100.1854</v>
      </c>
      <c r="F28" s="59">
        <f>SUMIFS('Rural VOC coefficients'!H$8:H$335,'Rural VOC coefficients'!$C$8:$C$335,'Rural VOC'!$C$22,'Rural VOC coefficients'!$D$8:$D$335,'Rural VOC'!$D$22,'Rural VOC coefficients'!$F$8:$F$335,'Rural VOC'!$C28)</f>
        <v>0.599271</v>
      </c>
      <c r="G28" s="59">
        <f>SUMIFS('Rural VOC coefficients'!I$8:I$335,'Rural VOC coefficients'!$C$8:$C$335,'Rural VOC'!$C$22,'Rural VOC coefficients'!$D$8:$D$335,'Rural VOC'!$D$22,'Rural VOC coefficients'!$F$8:$F$335,'Rural VOC'!$C28)</f>
        <v>9.0398049999999994</v>
      </c>
      <c r="H28" s="59">
        <f>SUMIFS('Rural VOC coefficients'!J$8:J$335,'Rural VOC coefficients'!$C$8:$C$335,'Rural VOC'!$C$22,'Rural VOC coefficients'!$D$8:$D$335,'Rural VOC'!$D$22,'Rural VOC coefficients'!$F$8:$F$335,'Rural VOC'!$C28)</f>
        <v>1.1399999999999999E-5</v>
      </c>
      <c r="I28" s="59">
        <f>SUMIFS('Rural VOC coefficients'!K$8:K$335,'Rural VOC coefficients'!$C$8:$C$335,'Rural VOC'!$C$22,'Rural VOC coefficients'!$D$8:$D$335,'Rural VOC'!$D$22,'Rural VOC coefficients'!$F$8:$F$335,'Rural VOC'!$C28)</f>
        <v>6.6026000000000001E-2</v>
      </c>
      <c r="J28" s="59">
        <f>SUMIFS('Rural VOC coefficients'!L$8:L$335,'Rural VOC coefficients'!$C$8:$C$335,'Rural VOC'!$C$22,'Rural VOC coefficients'!$D$8:$D$335,'Rural VOC'!$D$22,'Rural VOC coefficients'!$F$8:$F$335,'Rural VOC'!$C28)</f>
        <v>1.052E-3</v>
      </c>
      <c r="K28" s="60">
        <f>SUMIFS('Rural VOC coefficients'!M$8:M$335,'Rural VOC coefficients'!$C$8:$C$335,'Rural VOC'!$C$22,'Rural VOC coefficients'!$D$8:$D$335,'Rural VOC'!$D$22,'Rural VOC coefficients'!$F$8:$F$335,'Rural VOC'!$C28)</f>
        <v>4.4380000000000001E-3</v>
      </c>
      <c r="L28" s="73">
        <f t="shared" si="5"/>
        <v>107.70691074161665</v>
      </c>
      <c r="M28" s="73">
        <f t="shared" si="3"/>
        <v>120.85717309960472</v>
      </c>
      <c r="N28" s="13" t="s">
        <v>17</v>
      </c>
      <c r="O28" s="3"/>
      <c r="P28" s="3"/>
      <c r="Q28" s="3"/>
      <c r="R28" s="3"/>
      <c r="S28" s="3"/>
      <c r="T28" s="3"/>
      <c r="U28" s="3"/>
      <c r="V28" s="3"/>
    </row>
    <row r="29" spans="1:22" x14ac:dyDescent="0.2">
      <c r="B29" s="3" t="str">
        <f t="shared" ref="B29" si="8">B16</f>
        <v>Articulated trucks</v>
      </c>
      <c r="C29" s="3" t="str">
        <f t="shared" si="2"/>
        <v>12. Artic 6 Axle</v>
      </c>
      <c r="D29" s="5">
        <f t="shared" si="2"/>
        <v>35.625</v>
      </c>
      <c r="E29" s="58">
        <f>SUMIFS('Rural VOC coefficients'!G$8:G$335,'Rural VOC coefficients'!$C$8:$C$335,'Rural VOC'!$C$22,'Rural VOC coefficients'!$D$8:$D$335,'Rural VOC'!$D$22,'Rural VOC coefficients'!$F$8:$F$335,'Rural VOC'!$C29)</f>
        <v>103.6022</v>
      </c>
      <c r="F29" s="59">
        <f>SUMIFS('Rural VOC coefficients'!H$8:H$335,'Rural VOC coefficients'!$C$8:$C$335,'Rural VOC'!$C$22,'Rural VOC coefficients'!$D$8:$D$335,'Rural VOC'!$D$22,'Rural VOC coefficients'!$F$8:$F$335,'Rural VOC'!$C29)</f>
        <v>0.49192200000000003</v>
      </c>
      <c r="G29" s="59">
        <f>SUMIFS('Rural VOC coefficients'!I$8:I$335,'Rural VOC coefficients'!$C$8:$C$335,'Rural VOC'!$C$22,'Rural VOC coefficients'!$D$8:$D$335,'Rural VOC'!$D$22,'Rural VOC coefficients'!$F$8:$F$335,'Rural VOC'!$C29)</f>
        <v>8.5864209999999996</v>
      </c>
      <c r="H29" s="59">
        <f>SUMIFS('Rural VOC coefficients'!J$8:J$335,'Rural VOC coefficients'!$C$8:$C$335,'Rural VOC'!$C$22,'Rural VOC coefficients'!$D$8:$D$335,'Rural VOC'!$D$22,'Rural VOC coefficients'!$F$8:$F$335,'Rural VOC'!$C29)</f>
        <v>2.8E-5</v>
      </c>
      <c r="I29" s="59">
        <f>SUMIFS('Rural VOC coefficients'!K$8:K$335,'Rural VOC coefficients'!$C$8:$C$335,'Rural VOC'!$C$22,'Rural VOC coefficients'!$D$8:$D$335,'Rural VOC'!$D$22,'Rural VOC coefficients'!$F$8:$F$335,'Rural VOC'!$C29)</f>
        <v>8.5236999999999993E-2</v>
      </c>
      <c r="J29" s="59">
        <f>SUMIFS('Rural VOC coefficients'!L$8:L$335,'Rural VOC coefficients'!$C$8:$C$335,'Rural VOC'!$C$22,'Rural VOC coefficients'!$D$8:$D$335,'Rural VOC'!$D$22,'Rural VOC coefficients'!$F$8:$F$335,'Rural VOC'!$C29)</f>
        <v>3.6699999999999998E-4</v>
      </c>
      <c r="K29" s="60">
        <f>SUMIFS('Rural VOC coefficients'!M$8:M$335,'Rural VOC coefficients'!$C$8:$C$335,'Rural VOC'!$C$22,'Rural VOC coefficients'!$D$8:$D$335,'Rural VOC'!$D$22,'Rural VOC coefficients'!$F$8:$F$335,'Rural VOC'!$C29)</f>
        <v>4.0819999999999997E-3</v>
      </c>
      <c r="L29" s="73">
        <f t="shared" si="5"/>
        <v>118.1338866080533</v>
      </c>
      <c r="M29" s="73">
        <f t="shared" si="3"/>
        <v>132.55720997299005</v>
      </c>
      <c r="N29" s="13" t="s">
        <v>133</v>
      </c>
      <c r="O29" s="3"/>
      <c r="P29" s="3"/>
      <c r="Q29" s="3"/>
      <c r="R29" s="3"/>
      <c r="S29" s="3"/>
      <c r="T29" s="3"/>
      <c r="U29" s="3"/>
      <c r="V29" s="3"/>
    </row>
    <row r="30" spans="1:22" x14ac:dyDescent="0.2">
      <c r="B30" s="3" t="str">
        <f t="shared" ref="B30" si="9">B17</f>
        <v>Combination vehicles</v>
      </c>
      <c r="C30" s="3" t="str">
        <f t="shared" si="2"/>
        <v>14. B-Double</v>
      </c>
      <c r="D30" s="5">
        <f t="shared" si="2"/>
        <v>52.375</v>
      </c>
      <c r="E30" s="61">
        <f>SUMIFS('Rural VOC coefficients'!G$8:G$335,'Rural VOC coefficients'!$C$8:$C$335,'Rural VOC'!$C$22,'Rural VOC coefficients'!$D$8:$D$335,'Rural VOC'!$D$22,'Rural VOC coefficients'!$F$8:$F$335,'Rural VOC'!$C30)</f>
        <v>121.4093</v>
      </c>
      <c r="F30" s="62">
        <f>SUMIFS('Rural VOC coefficients'!H$8:H$335,'Rural VOC coefficients'!$C$8:$C$335,'Rural VOC'!$C$22,'Rural VOC coefficients'!$D$8:$D$335,'Rural VOC'!$D$22,'Rural VOC coefficients'!$F$8:$F$335,'Rural VOC'!$C30)</f>
        <v>0.483655</v>
      </c>
      <c r="G30" s="62">
        <f>SUMIFS('Rural VOC coefficients'!I$8:I$335,'Rural VOC coefficients'!$C$8:$C$335,'Rural VOC'!$C$22,'Rural VOC coefficients'!$D$8:$D$335,'Rural VOC'!$D$22,'Rural VOC coefficients'!$F$8:$F$335,'Rural VOC'!$C30)</f>
        <v>7.8763439999999996</v>
      </c>
      <c r="H30" s="62">
        <f>SUMIFS('Rural VOC coefficients'!J$8:J$335,'Rural VOC coefficients'!$C$8:$C$335,'Rural VOC'!$C$22,'Rural VOC coefficients'!$D$8:$D$335,'Rural VOC'!$D$22,'Rural VOC coefficients'!$F$8:$F$335,'Rural VOC'!$C30)</f>
        <v>2.41E-5</v>
      </c>
      <c r="I30" s="62">
        <f>SUMIFS('Rural VOC coefficients'!K$8:K$335,'Rural VOC coefficients'!$C$8:$C$335,'Rural VOC'!$C$22,'Rural VOC coefficients'!$D$8:$D$335,'Rural VOC'!$D$22,'Rural VOC coefficients'!$F$8:$F$335,'Rural VOC'!$C30)</f>
        <v>9.1051000000000007E-2</v>
      </c>
      <c r="J30" s="62">
        <f>SUMIFS('Rural VOC coefficients'!L$8:L$335,'Rural VOC coefficients'!$C$8:$C$335,'Rural VOC'!$C$22,'Rural VOC coefficients'!$D$8:$D$335,'Rural VOC'!$D$22,'Rural VOC coefficients'!$F$8:$F$335,'Rural VOC'!$C30)</f>
        <v>1.4799999999999999E-4</v>
      </c>
      <c r="K30" s="63">
        <f>SUMIFS('Rural VOC coefficients'!M$8:M$335,'Rural VOC coefficients'!$C$8:$C$335,'Rural VOC'!$C$22,'Rural VOC coefficients'!$D$8:$D$335,'Rural VOC'!$D$22,'Rural VOC coefficients'!$F$8:$F$335,'Rural VOC'!$C30)</f>
        <v>3.5669999999999999E-3</v>
      </c>
      <c r="L30" s="74">
        <f t="shared" si="5"/>
        <v>141.1982904794325</v>
      </c>
      <c r="M30" s="74">
        <f t="shared" si="3"/>
        <v>158.43761664261902</v>
      </c>
      <c r="N30" s="3"/>
      <c r="O30" s="3"/>
      <c r="P30" s="3"/>
      <c r="Q30" s="3"/>
      <c r="R30" s="3"/>
      <c r="S30" s="3"/>
      <c r="T30" s="3"/>
      <c r="U30" s="3"/>
      <c r="V30" s="3"/>
    </row>
    <row r="31" spans="1:22" x14ac:dyDescent="0.2">
      <c r="E31" s="1"/>
      <c r="F31" s="1"/>
      <c r="G31" s="1"/>
    </row>
    <row r="32" spans="1:22" x14ac:dyDescent="0.2">
      <c r="E32" s="1"/>
      <c r="F32" s="1"/>
      <c r="G32" s="1"/>
    </row>
    <row r="33" spans="5:11" x14ac:dyDescent="0.2">
      <c r="E33" s="1"/>
      <c r="F33" s="1"/>
      <c r="G33" s="1"/>
    </row>
    <row r="34" spans="5:11" x14ac:dyDescent="0.2">
      <c r="E34" s="1"/>
      <c r="F34" s="1"/>
      <c r="G34" s="1"/>
      <c r="H34" s="1"/>
      <c r="I34" s="1"/>
      <c r="J34" s="1"/>
      <c r="K34" s="1"/>
    </row>
    <row r="35" spans="5:11" x14ac:dyDescent="0.2">
      <c r="E35" s="1"/>
      <c r="F35" s="1"/>
      <c r="G35" s="1"/>
      <c r="H35" s="1"/>
      <c r="I35" s="1"/>
      <c r="J35" s="1"/>
      <c r="K35" s="1"/>
    </row>
    <row r="36" spans="5:11" x14ac:dyDescent="0.2">
      <c r="E36" s="1"/>
      <c r="F36" s="1"/>
      <c r="G36" s="1"/>
      <c r="H36" s="1"/>
      <c r="I36" s="1"/>
      <c r="J36" s="1"/>
      <c r="K36" s="1"/>
    </row>
    <row r="37" spans="5:11" x14ac:dyDescent="0.2">
      <c r="E37" s="1"/>
      <c r="F37" s="1"/>
      <c r="G37" s="1"/>
      <c r="H37" s="1"/>
      <c r="I37" s="1"/>
      <c r="J37" s="1"/>
      <c r="K37" s="1"/>
    </row>
    <row r="38" spans="5:11" x14ac:dyDescent="0.2">
      <c r="E38" s="1"/>
    </row>
    <row r="39" spans="5:11" x14ac:dyDescent="0.2">
      <c r="E39" s="1"/>
    </row>
    <row r="40" spans="5:11" x14ac:dyDescent="0.2">
      <c r="E40" s="1"/>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C98BCBF-C0F5-415B-8703-47C09BFDB9A7}">
          <x14:formula1>
            <xm:f>Lists!$J$9:$J$13</xm:f>
          </x14:formula1>
          <xm:sqref>C9 C22</xm:sqref>
        </x14:dataValidation>
        <x14:dataValidation type="list" allowBlank="1" showInputMessage="1" showErrorMessage="1" xr:uid="{AA759DFF-424F-43A6-84B5-B18A967C9022}">
          <x14:formula1>
            <xm:f>Lists!$K$9:$K$11</xm:f>
          </x14:formula1>
          <xm:sqref>D9 D22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83A24-F18A-427F-B084-E317328E8DA5}">
  <sheetPr>
    <tabColor rgb="FF99FFCC"/>
  </sheetPr>
  <dimension ref="B1:AO347"/>
  <sheetViews>
    <sheetView showGridLines="0" zoomScale="70" zoomScaleNormal="70" workbookViewId="0">
      <selection activeCell="Q10" sqref="Q10"/>
    </sheetView>
  </sheetViews>
  <sheetFormatPr defaultColWidth="7.77734375" defaultRowHeight="14.25" zeroHeight="1" x14ac:dyDescent="0.2"/>
  <cols>
    <col min="1" max="1" width="3.77734375" style="28" customWidth="1"/>
    <col min="2" max="2" width="2.109375" style="28" customWidth="1"/>
    <col min="3" max="3" width="10.5546875" style="28" customWidth="1"/>
    <col min="4" max="5" width="8" style="28" bestFit="1" customWidth="1"/>
    <col min="6" max="6" width="23.5546875" style="28" customWidth="1"/>
    <col min="7" max="7" width="9.6640625" style="28" customWidth="1"/>
    <col min="8" max="8" width="7.21875" style="28" customWidth="1"/>
    <col min="9" max="9" width="8" style="28" bestFit="1" customWidth="1"/>
    <col min="10" max="10" width="10.6640625" style="28" bestFit="1" customWidth="1"/>
    <col min="11" max="11" width="8" style="28" bestFit="1" customWidth="1"/>
    <col min="12" max="12" width="9.33203125" style="28" bestFit="1" customWidth="1"/>
    <col min="13" max="13" width="8.109375" style="28" bestFit="1" customWidth="1"/>
    <col min="14" max="14" width="7.77734375" style="28" customWidth="1"/>
    <col min="15" max="16384" width="7.77734375" style="28"/>
  </cols>
  <sheetData>
    <row r="1" spans="2:14" x14ac:dyDescent="0.2"/>
    <row r="2" spans="2:14" ht="15.75" x14ac:dyDescent="0.25">
      <c r="C2" s="49" t="s">
        <v>128</v>
      </c>
      <c r="D2" s="50"/>
      <c r="E2" s="50"/>
      <c r="F2" s="51"/>
    </row>
    <row r="3" spans="2:14" x14ac:dyDescent="0.2">
      <c r="C3" s="52" t="s">
        <v>129</v>
      </c>
      <c r="D3" s="53"/>
      <c r="E3" s="53"/>
      <c r="F3" s="54"/>
    </row>
    <row r="4" spans="2:14" x14ac:dyDescent="0.2"/>
    <row r="5" spans="2:14" ht="45" x14ac:dyDescent="0.2">
      <c r="B5" s="33"/>
      <c r="C5" s="29" t="s">
        <v>118</v>
      </c>
      <c r="D5" s="34"/>
      <c r="E5" s="34"/>
      <c r="F5" s="34"/>
      <c r="G5" s="34"/>
      <c r="H5" s="34"/>
      <c r="I5" s="34"/>
      <c r="J5" s="34"/>
      <c r="K5" s="34"/>
      <c r="L5" s="34"/>
      <c r="M5" s="34"/>
      <c r="N5" s="35"/>
    </row>
    <row r="6" spans="2:14" x14ac:dyDescent="0.2">
      <c r="B6" s="36"/>
      <c r="C6" s="32"/>
      <c r="D6" s="32"/>
      <c r="E6" s="32"/>
      <c r="F6" s="32"/>
      <c r="G6" s="32"/>
      <c r="H6" s="32"/>
      <c r="I6" s="32"/>
      <c r="J6" s="32"/>
      <c r="K6" s="32"/>
      <c r="L6" s="32"/>
      <c r="M6" s="32"/>
      <c r="N6" s="37"/>
    </row>
    <row r="7" spans="2:14" x14ac:dyDescent="0.2">
      <c r="B7" s="36"/>
      <c r="C7" s="30" t="s">
        <v>119</v>
      </c>
      <c r="D7" s="30" t="s">
        <v>120</v>
      </c>
      <c r="E7" s="30"/>
      <c r="F7" s="30" t="s">
        <v>107</v>
      </c>
      <c r="G7" s="30" t="s">
        <v>115</v>
      </c>
      <c r="H7" s="30" t="s">
        <v>6</v>
      </c>
      <c r="I7" s="30" t="s">
        <v>7</v>
      </c>
      <c r="J7" s="30" t="s">
        <v>8</v>
      </c>
      <c r="K7" s="30" t="s">
        <v>9</v>
      </c>
      <c r="L7" s="30" t="s">
        <v>10</v>
      </c>
      <c r="M7" s="30" t="s">
        <v>11</v>
      </c>
      <c r="N7" s="37"/>
    </row>
    <row r="8" spans="2:14" x14ac:dyDescent="0.2">
      <c r="B8" s="36"/>
      <c r="C8" s="31">
        <v>0</v>
      </c>
      <c r="D8" s="31">
        <v>20</v>
      </c>
      <c r="E8" s="31">
        <v>1</v>
      </c>
      <c r="F8" s="31" t="s">
        <v>87</v>
      </c>
      <c r="G8" s="31">
        <v>21.655529999999999</v>
      </c>
      <c r="H8" s="31">
        <v>0.68256799999999995</v>
      </c>
      <c r="I8" s="31">
        <v>8.9266260000000006</v>
      </c>
      <c r="J8" s="31">
        <v>1.8600000000000001E-5</v>
      </c>
      <c r="K8" s="31">
        <v>2.9245E-2</v>
      </c>
      <c r="L8" s="31">
        <v>8.12E-4</v>
      </c>
      <c r="M8" s="31">
        <v>4.0681000000000002E-2</v>
      </c>
      <c r="N8" s="37"/>
    </row>
    <row r="9" spans="2:14" x14ac:dyDescent="0.2">
      <c r="B9" s="36"/>
      <c r="C9" s="31">
        <v>0</v>
      </c>
      <c r="D9" s="31">
        <v>20</v>
      </c>
      <c r="E9" s="31">
        <v>2</v>
      </c>
      <c r="F9" s="31" t="s">
        <v>88</v>
      </c>
      <c r="G9" s="31">
        <v>28.586790000000001</v>
      </c>
      <c r="H9" s="31">
        <v>0.68912899999999999</v>
      </c>
      <c r="I9" s="31">
        <v>10.27355</v>
      </c>
      <c r="J9" s="31">
        <v>1.43E-5</v>
      </c>
      <c r="K9" s="31">
        <v>2.7139E-2</v>
      </c>
      <c r="L9" s="31">
        <v>9.4499999999999998E-4</v>
      </c>
      <c r="M9" s="31">
        <v>3.0450999999999999E-2</v>
      </c>
      <c r="N9" s="37"/>
    </row>
    <row r="10" spans="2:14" x14ac:dyDescent="0.2">
      <c r="B10" s="36"/>
      <c r="C10" s="31">
        <v>0</v>
      </c>
      <c r="D10" s="31">
        <v>20</v>
      </c>
      <c r="E10" s="31">
        <v>3</v>
      </c>
      <c r="F10" s="31" t="s">
        <v>89</v>
      </c>
      <c r="G10" s="31">
        <v>37.23451</v>
      </c>
      <c r="H10" s="31">
        <v>0.71454200000000001</v>
      </c>
      <c r="I10" s="31">
        <v>10.81935</v>
      </c>
      <c r="J10" s="31">
        <v>1.0900000000000001E-5</v>
      </c>
      <c r="K10" s="31">
        <v>2.3979E-2</v>
      </c>
      <c r="L10" s="31">
        <v>1.031E-3</v>
      </c>
      <c r="M10" s="31">
        <v>2.0684000000000001E-2</v>
      </c>
      <c r="N10" s="37"/>
    </row>
    <row r="11" spans="2:14" x14ac:dyDescent="0.2">
      <c r="B11" s="36"/>
      <c r="C11" s="31">
        <v>0</v>
      </c>
      <c r="D11" s="31">
        <v>20</v>
      </c>
      <c r="E11" s="31">
        <v>4</v>
      </c>
      <c r="F11" s="31" t="s">
        <v>90</v>
      </c>
      <c r="G11" s="31">
        <v>32.14678</v>
      </c>
      <c r="H11" s="31">
        <v>0.67199200000000003</v>
      </c>
      <c r="I11" s="31">
        <v>8.0856639999999995</v>
      </c>
      <c r="J11" s="31">
        <v>1.5299999999999999E-5</v>
      </c>
      <c r="K11" s="31">
        <v>3.9595999999999999E-2</v>
      </c>
      <c r="L11" s="31">
        <v>2.4919999999999999E-3</v>
      </c>
      <c r="M11" s="31">
        <v>2.3847E-2</v>
      </c>
      <c r="N11" s="37"/>
    </row>
    <row r="12" spans="2:14" x14ac:dyDescent="0.2">
      <c r="B12" s="36"/>
      <c r="C12" s="31">
        <v>0</v>
      </c>
      <c r="D12" s="31">
        <v>20</v>
      </c>
      <c r="E12" s="31">
        <v>5</v>
      </c>
      <c r="F12" s="31" t="s">
        <v>91</v>
      </c>
      <c r="G12" s="31">
        <v>35.492579999999997</v>
      </c>
      <c r="H12" s="31">
        <v>0.70408899999999996</v>
      </c>
      <c r="I12" s="31">
        <v>7.1600700000000002</v>
      </c>
      <c r="J12" s="31">
        <v>1.45E-5</v>
      </c>
      <c r="K12" s="31">
        <v>3.4578999999999999E-2</v>
      </c>
      <c r="L12" s="31">
        <v>2.0999999999999999E-3</v>
      </c>
      <c r="M12" s="31">
        <v>1.6299999999999999E-2</v>
      </c>
      <c r="N12" s="37"/>
    </row>
    <row r="13" spans="2:14" x14ac:dyDescent="0.2">
      <c r="B13" s="36"/>
      <c r="C13" s="31">
        <v>0</v>
      </c>
      <c r="D13" s="31">
        <v>20</v>
      </c>
      <c r="E13" s="31">
        <v>6</v>
      </c>
      <c r="F13" s="31" t="s">
        <v>92</v>
      </c>
      <c r="G13" s="31">
        <v>44.708509999999997</v>
      </c>
      <c r="H13" s="31">
        <v>0.69040900000000005</v>
      </c>
      <c r="I13" s="31">
        <v>5.5711149999999998</v>
      </c>
      <c r="J13" s="31">
        <v>2.3799999999999999E-5</v>
      </c>
      <c r="K13" s="31">
        <v>4.2391999999999999E-2</v>
      </c>
      <c r="L13" s="31">
        <v>1.879E-3</v>
      </c>
      <c r="M13" s="31">
        <v>1.3114000000000001E-2</v>
      </c>
      <c r="N13" s="37"/>
    </row>
    <row r="14" spans="2:14" x14ac:dyDescent="0.2">
      <c r="B14" s="36"/>
      <c r="C14" s="31">
        <v>0</v>
      </c>
      <c r="D14" s="31">
        <v>20</v>
      </c>
      <c r="E14" s="31">
        <v>7</v>
      </c>
      <c r="F14" s="31" t="s">
        <v>93</v>
      </c>
      <c r="G14" s="31">
        <v>51.70626</v>
      </c>
      <c r="H14" s="31">
        <v>0.64653000000000005</v>
      </c>
      <c r="I14" s="31">
        <v>8.3101330000000004</v>
      </c>
      <c r="J14" s="31">
        <v>2.0800000000000001E-5</v>
      </c>
      <c r="K14" s="31">
        <v>3.7527999999999999E-2</v>
      </c>
      <c r="L14" s="31">
        <v>1.7619999999999999E-3</v>
      </c>
      <c r="M14" s="31">
        <v>1.0923E-2</v>
      </c>
      <c r="N14" s="37"/>
    </row>
    <row r="15" spans="2:14" x14ac:dyDescent="0.2">
      <c r="B15" s="36"/>
      <c r="C15" s="31">
        <v>0</v>
      </c>
      <c r="D15" s="31">
        <v>20</v>
      </c>
      <c r="E15" s="31">
        <v>8</v>
      </c>
      <c r="F15" s="31" t="s">
        <v>94</v>
      </c>
      <c r="G15" s="31">
        <v>64.344629999999995</v>
      </c>
      <c r="H15" s="31">
        <v>0.45218000000000003</v>
      </c>
      <c r="I15" s="31">
        <v>10.40255</v>
      </c>
      <c r="J15" s="31">
        <v>3.4199999999999998E-5</v>
      </c>
      <c r="K15" s="31">
        <v>8.2006999999999997E-2</v>
      </c>
      <c r="L15" s="31">
        <v>2.32E-4</v>
      </c>
      <c r="M15" s="31">
        <v>6.5849999999999997E-3</v>
      </c>
      <c r="N15" s="37"/>
    </row>
    <row r="16" spans="2:14" x14ac:dyDescent="0.2">
      <c r="B16" s="36"/>
      <c r="C16" s="31">
        <v>0</v>
      </c>
      <c r="D16" s="31">
        <v>20</v>
      </c>
      <c r="E16" s="31">
        <v>9</v>
      </c>
      <c r="F16" s="31" t="s">
        <v>95</v>
      </c>
      <c r="G16" s="31">
        <v>100.1854</v>
      </c>
      <c r="H16" s="31">
        <v>0.599271</v>
      </c>
      <c r="I16" s="31">
        <v>9.0398049999999994</v>
      </c>
      <c r="J16" s="31">
        <v>1.1399999999999999E-5</v>
      </c>
      <c r="K16" s="31">
        <v>6.6026000000000001E-2</v>
      </c>
      <c r="L16" s="31">
        <v>1.052E-3</v>
      </c>
      <c r="M16" s="31">
        <v>4.4380000000000001E-3</v>
      </c>
      <c r="N16" s="37"/>
    </row>
    <row r="17" spans="2:14" x14ac:dyDescent="0.2">
      <c r="B17" s="36"/>
      <c r="C17" s="31">
        <v>0</v>
      </c>
      <c r="D17" s="31">
        <v>20</v>
      </c>
      <c r="E17" s="31">
        <v>10</v>
      </c>
      <c r="F17" s="31" t="s">
        <v>96</v>
      </c>
      <c r="G17" s="31">
        <v>86.462869999999995</v>
      </c>
      <c r="H17" s="31">
        <v>0.44365599999999999</v>
      </c>
      <c r="I17" s="31">
        <v>9.1690670000000001</v>
      </c>
      <c r="J17" s="31">
        <v>3.5099999999999999E-5</v>
      </c>
      <c r="K17" s="31">
        <v>8.7456000000000006E-2</v>
      </c>
      <c r="L17" s="31">
        <v>2.5700000000000001E-4</v>
      </c>
      <c r="M17" s="31">
        <v>6.4510000000000001E-3</v>
      </c>
      <c r="N17" s="37"/>
    </row>
    <row r="18" spans="2:14" x14ac:dyDescent="0.2">
      <c r="B18" s="36"/>
      <c r="C18" s="31">
        <v>0</v>
      </c>
      <c r="D18" s="31">
        <v>20</v>
      </c>
      <c r="E18" s="31">
        <v>11</v>
      </c>
      <c r="F18" s="31" t="s">
        <v>97</v>
      </c>
      <c r="G18" s="31">
        <v>95.652379999999994</v>
      </c>
      <c r="H18" s="31">
        <v>0.48677999999999999</v>
      </c>
      <c r="I18" s="31">
        <v>8.8512079999999997</v>
      </c>
      <c r="J18" s="31">
        <v>3.0300000000000001E-5</v>
      </c>
      <c r="K18" s="31">
        <v>8.3933999999999995E-2</v>
      </c>
      <c r="L18" s="31">
        <v>4.0400000000000001E-4</v>
      </c>
      <c r="M18" s="31">
        <v>4.411E-3</v>
      </c>
      <c r="N18" s="37"/>
    </row>
    <row r="19" spans="2:14" x14ac:dyDescent="0.2">
      <c r="B19" s="36"/>
      <c r="C19" s="31">
        <v>0</v>
      </c>
      <c r="D19" s="31">
        <v>20</v>
      </c>
      <c r="E19" s="31">
        <v>12</v>
      </c>
      <c r="F19" s="31" t="s">
        <v>98</v>
      </c>
      <c r="G19" s="31">
        <v>103.6022</v>
      </c>
      <c r="H19" s="31">
        <v>0.49192200000000003</v>
      </c>
      <c r="I19" s="31">
        <v>8.5864209999999996</v>
      </c>
      <c r="J19" s="31">
        <v>2.8E-5</v>
      </c>
      <c r="K19" s="31">
        <v>8.5236999999999993E-2</v>
      </c>
      <c r="L19" s="31">
        <v>3.6699999999999998E-4</v>
      </c>
      <c r="M19" s="31">
        <v>4.0819999999999997E-3</v>
      </c>
      <c r="N19" s="37"/>
    </row>
    <row r="20" spans="2:14" x14ac:dyDescent="0.2">
      <c r="B20" s="36"/>
      <c r="C20" s="31">
        <v>0</v>
      </c>
      <c r="D20" s="31">
        <v>20</v>
      </c>
      <c r="E20" s="31">
        <v>13</v>
      </c>
      <c r="F20" s="31" t="s">
        <v>99</v>
      </c>
      <c r="G20" s="31">
        <v>109.6991</v>
      </c>
      <c r="H20" s="31">
        <v>0.50733300000000003</v>
      </c>
      <c r="I20" s="31">
        <v>7.4032309999999999</v>
      </c>
      <c r="J20" s="31">
        <v>2.7500000000000001E-5</v>
      </c>
      <c r="K20" s="31">
        <v>8.1194000000000002E-2</v>
      </c>
      <c r="L20" s="31">
        <v>1.07E-4</v>
      </c>
      <c r="M20" s="31">
        <v>3.9430000000000003E-3</v>
      </c>
      <c r="N20" s="37"/>
    </row>
    <row r="21" spans="2:14" x14ac:dyDescent="0.2">
      <c r="B21" s="36"/>
      <c r="C21" s="31">
        <v>0</v>
      </c>
      <c r="D21" s="31">
        <v>20</v>
      </c>
      <c r="E21" s="31">
        <v>14</v>
      </c>
      <c r="F21" s="31" t="s">
        <v>100</v>
      </c>
      <c r="G21" s="31">
        <v>121.4093</v>
      </c>
      <c r="H21" s="31">
        <v>0.483655</v>
      </c>
      <c r="I21" s="31">
        <v>7.8763439999999996</v>
      </c>
      <c r="J21" s="31">
        <v>2.41E-5</v>
      </c>
      <c r="K21" s="31">
        <v>9.1051000000000007E-2</v>
      </c>
      <c r="L21" s="31">
        <v>1.4799999999999999E-4</v>
      </c>
      <c r="M21" s="31">
        <v>3.5669999999999999E-3</v>
      </c>
      <c r="N21" s="37"/>
    </row>
    <row r="22" spans="2:14" x14ac:dyDescent="0.2">
      <c r="B22" s="36"/>
      <c r="C22" s="31">
        <v>0</v>
      </c>
      <c r="D22" s="31">
        <v>20</v>
      </c>
      <c r="E22" s="31">
        <v>15</v>
      </c>
      <c r="F22" s="31" t="s">
        <v>101</v>
      </c>
      <c r="G22" s="31">
        <v>120.4225</v>
      </c>
      <c r="H22" s="31">
        <v>0.50105699999999997</v>
      </c>
      <c r="I22" s="31">
        <v>7.6068129999999998</v>
      </c>
      <c r="J22" s="31">
        <v>2.4499999999999999E-5</v>
      </c>
      <c r="K22" s="31">
        <v>8.5776000000000005E-2</v>
      </c>
      <c r="L22" s="31">
        <v>1.9100000000000001E-4</v>
      </c>
      <c r="M22" s="31">
        <v>3.5929999999999998E-3</v>
      </c>
      <c r="N22" s="37"/>
    </row>
    <row r="23" spans="2:14" x14ac:dyDescent="0.2">
      <c r="B23" s="36"/>
      <c r="C23" s="31">
        <v>0</v>
      </c>
      <c r="D23" s="31">
        <v>20</v>
      </c>
      <c r="E23" s="31">
        <v>16</v>
      </c>
      <c r="F23" s="31" t="s">
        <v>102</v>
      </c>
      <c r="G23" s="31">
        <v>146.9991</v>
      </c>
      <c r="H23" s="31">
        <v>0.47755900000000001</v>
      </c>
      <c r="I23" s="31">
        <v>7.5401800000000003</v>
      </c>
      <c r="J23" s="31">
        <v>1.95E-5</v>
      </c>
      <c r="K23" s="31">
        <v>9.6146999999999996E-2</v>
      </c>
      <c r="L23" s="31">
        <v>8.8599999999999999E-5</v>
      </c>
      <c r="M23" s="31">
        <v>2.9889999999999999E-3</v>
      </c>
      <c r="N23" s="37"/>
    </row>
    <row r="24" spans="2:14" x14ac:dyDescent="0.2">
      <c r="B24" s="36"/>
      <c r="C24" s="31">
        <v>0</v>
      </c>
      <c r="D24" s="31">
        <v>20</v>
      </c>
      <c r="E24" s="31">
        <v>17</v>
      </c>
      <c r="F24" s="31" t="s">
        <v>103</v>
      </c>
      <c r="G24" s="31">
        <v>170.36340000000001</v>
      </c>
      <c r="H24" s="31">
        <v>0.48833399999999999</v>
      </c>
      <c r="I24" s="31">
        <v>7.8643020000000003</v>
      </c>
      <c r="J24" s="31">
        <v>1.5800000000000001E-5</v>
      </c>
      <c r="K24" s="31">
        <v>9.7835000000000005E-2</v>
      </c>
      <c r="L24" s="31">
        <v>3.3199999999999999E-4</v>
      </c>
      <c r="M24" s="31">
        <v>2.5799999999999998E-3</v>
      </c>
      <c r="N24" s="37"/>
    </row>
    <row r="25" spans="2:14" x14ac:dyDescent="0.2">
      <c r="B25" s="36"/>
      <c r="C25" s="31">
        <v>0</v>
      </c>
      <c r="D25" s="31">
        <v>20</v>
      </c>
      <c r="E25" s="31">
        <v>18</v>
      </c>
      <c r="F25" s="31" t="s">
        <v>104</v>
      </c>
      <c r="G25" s="31">
        <v>166.3673</v>
      </c>
      <c r="H25" s="31">
        <v>0.47580499999999998</v>
      </c>
      <c r="I25" s="31">
        <v>7.0060390000000003</v>
      </c>
      <c r="J25" s="31">
        <v>1.7499999999999998E-5</v>
      </c>
      <c r="K25" s="31">
        <v>9.8110000000000003E-2</v>
      </c>
      <c r="L25" s="31">
        <v>-5.1999999999999997E-5</v>
      </c>
      <c r="M25" s="31">
        <v>2.6710000000000002E-3</v>
      </c>
      <c r="N25" s="37"/>
    </row>
    <row r="26" spans="2:14" x14ac:dyDescent="0.2">
      <c r="B26" s="36"/>
      <c r="C26" s="31">
        <v>0</v>
      </c>
      <c r="D26" s="31">
        <v>20</v>
      </c>
      <c r="E26" s="31">
        <v>19</v>
      </c>
      <c r="F26" s="31" t="s">
        <v>105</v>
      </c>
      <c r="G26" s="31">
        <v>186.86519999999999</v>
      </c>
      <c r="H26" s="31">
        <v>0.48013600000000001</v>
      </c>
      <c r="I26" s="31">
        <v>6.8842879999999997</v>
      </c>
      <c r="J26" s="31">
        <v>1.56E-5</v>
      </c>
      <c r="K26" s="31">
        <v>9.9252999999999994E-2</v>
      </c>
      <c r="L26" s="31">
        <v>-2.0000000000000002E-5</v>
      </c>
      <c r="M26" s="31">
        <v>2.3930000000000002E-3</v>
      </c>
      <c r="N26" s="37"/>
    </row>
    <row r="27" spans="2:14" x14ac:dyDescent="0.2">
      <c r="B27" s="36"/>
      <c r="C27" s="31">
        <v>0</v>
      </c>
      <c r="D27" s="31">
        <v>20</v>
      </c>
      <c r="E27" s="31">
        <v>20</v>
      </c>
      <c r="F27" s="31" t="s">
        <v>121</v>
      </c>
      <c r="G27" s="31">
        <v>189.70760000000001</v>
      </c>
      <c r="H27" s="31">
        <v>0.479935</v>
      </c>
      <c r="I27" s="31">
        <v>6.5790420000000003</v>
      </c>
      <c r="J27" s="31">
        <v>1.5699999999999999E-5</v>
      </c>
      <c r="K27" s="31">
        <v>9.8984000000000003E-2</v>
      </c>
      <c r="L27" s="31">
        <v>-1.2999999999999999E-4</v>
      </c>
      <c r="M27" s="31">
        <v>2.3609999999999998E-3</v>
      </c>
      <c r="N27" s="37"/>
    </row>
    <row r="28" spans="2:14" x14ac:dyDescent="0.2">
      <c r="B28" s="36"/>
      <c r="C28" s="38"/>
      <c r="D28" s="38"/>
      <c r="E28" s="38"/>
      <c r="F28" s="38"/>
      <c r="G28" s="38"/>
      <c r="H28" s="38"/>
      <c r="I28" s="38"/>
      <c r="J28" s="38"/>
      <c r="K28" s="38"/>
      <c r="L28" s="38"/>
      <c r="M28" s="38"/>
      <c r="N28" s="37"/>
    </row>
    <row r="29" spans="2:14" x14ac:dyDescent="0.2">
      <c r="B29" s="36"/>
      <c r="C29" s="30" t="s">
        <v>119</v>
      </c>
      <c r="D29" s="30" t="s">
        <v>120</v>
      </c>
      <c r="E29" s="30"/>
      <c r="F29" s="30" t="s">
        <v>107</v>
      </c>
      <c r="G29" s="30" t="s">
        <v>115</v>
      </c>
      <c r="H29" s="30" t="s">
        <v>6</v>
      </c>
      <c r="I29" s="30" t="s">
        <v>7</v>
      </c>
      <c r="J29" s="30" t="s">
        <v>8</v>
      </c>
      <c r="K29" s="30" t="s">
        <v>9</v>
      </c>
      <c r="L29" s="30" t="s">
        <v>10</v>
      </c>
      <c r="M29" s="30" t="s">
        <v>11</v>
      </c>
      <c r="N29" s="37"/>
    </row>
    <row r="30" spans="2:14" x14ac:dyDescent="0.2">
      <c r="B30" s="36"/>
      <c r="C30" s="31">
        <v>0</v>
      </c>
      <c r="D30" s="31">
        <v>120</v>
      </c>
      <c r="E30" s="31">
        <v>1</v>
      </c>
      <c r="F30" s="31" t="s">
        <v>87</v>
      </c>
      <c r="G30" s="31">
        <v>21.662459999999999</v>
      </c>
      <c r="H30" s="31">
        <v>0.68450200000000005</v>
      </c>
      <c r="I30" s="31">
        <v>8.7684149999999992</v>
      </c>
      <c r="J30" s="31">
        <v>1.8E-5</v>
      </c>
      <c r="K30" s="31">
        <v>2.98E-2</v>
      </c>
      <c r="L30" s="31">
        <v>7.5900000000000002E-4</v>
      </c>
      <c r="M30" s="31">
        <v>4.3477000000000002E-2</v>
      </c>
      <c r="N30" s="37"/>
    </row>
    <row r="31" spans="2:14" x14ac:dyDescent="0.2">
      <c r="B31" s="36"/>
      <c r="C31" s="31">
        <v>0</v>
      </c>
      <c r="D31" s="31">
        <v>120</v>
      </c>
      <c r="E31" s="31">
        <v>2</v>
      </c>
      <c r="F31" s="31" t="s">
        <v>88</v>
      </c>
      <c r="G31" s="31">
        <v>28.603059999999999</v>
      </c>
      <c r="H31" s="31">
        <v>0.69118100000000005</v>
      </c>
      <c r="I31" s="31">
        <v>10.09801</v>
      </c>
      <c r="J31" s="31">
        <v>1.36E-5</v>
      </c>
      <c r="K31" s="31">
        <v>2.7718E-2</v>
      </c>
      <c r="L31" s="31">
        <v>8.8800000000000001E-4</v>
      </c>
      <c r="M31" s="31">
        <v>3.3002999999999998E-2</v>
      </c>
      <c r="N31" s="37"/>
    </row>
    <row r="32" spans="2:14" x14ac:dyDescent="0.2">
      <c r="B32" s="36"/>
      <c r="C32" s="31">
        <v>0</v>
      </c>
      <c r="D32" s="31">
        <v>120</v>
      </c>
      <c r="E32" s="31">
        <v>3</v>
      </c>
      <c r="F32" s="31" t="s">
        <v>89</v>
      </c>
      <c r="G32" s="31">
        <v>37.27617</v>
      </c>
      <c r="H32" s="31">
        <v>0.71675599999999995</v>
      </c>
      <c r="I32" s="31">
        <v>10.618119999999999</v>
      </c>
      <c r="J32" s="31">
        <v>1.0200000000000001E-5</v>
      </c>
      <c r="K32" s="31">
        <v>2.4594000000000001E-2</v>
      </c>
      <c r="L32" s="31">
        <v>9.68E-4</v>
      </c>
      <c r="M32" s="31">
        <v>2.2988999999999999E-2</v>
      </c>
      <c r="N32" s="37"/>
    </row>
    <row r="33" spans="2:14" x14ac:dyDescent="0.2">
      <c r="B33" s="36"/>
      <c r="C33" s="31">
        <v>0</v>
      </c>
      <c r="D33" s="31">
        <v>120</v>
      </c>
      <c r="E33" s="31">
        <v>4</v>
      </c>
      <c r="F33" s="31" t="s">
        <v>90</v>
      </c>
      <c r="G33" s="31">
        <v>32.167079999999999</v>
      </c>
      <c r="H33" s="31">
        <v>0.664829</v>
      </c>
      <c r="I33" s="31">
        <v>8.0874030000000001</v>
      </c>
      <c r="J33" s="31">
        <v>1.5999999999999999E-5</v>
      </c>
      <c r="K33" s="31">
        <v>3.9781999999999998E-2</v>
      </c>
      <c r="L33" s="31">
        <v>2.4680000000000001E-3</v>
      </c>
      <c r="M33" s="31">
        <v>2.6789E-2</v>
      </c>
      <c r="N33" s="37"/>
    </row>
    <row r="34" spans="2:14" x14ac:dyDescent="0.2">
      <c r="B34" s="36"/>
      <c r="C34" s="31">
        <v>0</v>
      </c>
      <c r="D34" s="31">
        <v>120</v>
      </c>
      <c r="E34" s="31">
        <v>5</v>
      </c>
      <c r="F34" s="31" t="s">
        <v>91</v>
      </c>
      <c r="G34" s="31">
        <v>35.521940000000001</v>
      </c>
      <c r="H34" s="31">
        <v>0.698627</v>
      </c>
      <c r="I34" s="31">
        <v>7.1551939999999998</v>
      </c>
      <c r="J34" s="31">
        <v>1.5099999999999999E-5</v>
      </c>
      <c r="K34" s="31">
        <v>3.4759999999999999E-2</v>
      </c>
      <c r="L34" s="31">
        <v>2.075E-3</v>
      </c>
      <c r="M34" s="31">
        <v>1.7918E-2</v>
      </c>
      <c r="N34" s="37"/>
    </row>
    <row r="35" spans="2:14" x14ac:dyDescent="0.2">
      <c r="B35" s="36"/>
      <c r="C35" s="31">
        <v>0</v>
      </c>
      <c r="D35" s="31">
        <v>120</v>
      </c>
      <c r="E35" s="31">
        <v>6</v>
      </c>
      <c r="F35" s="31" t="s">
        <v>92</v>
      </c>
      <c r="G35" s="31">
        <v>44.70767</v>
      </c>
      <c r="H35" s="31">
        <v>0.69001199999999996</v>
      </c>
      <c r="I35" s="31">
        <v>5.4948189999999997</v>
      </c>
      <c r="J35" s="31">
        <v>2.3499999999999999E-5</v>
      </c>
      <c r="K35" s="31">
        <v>4.2571999999999999E-2</v>
      </c>
      <c r="L35" s="31">
        <v>1.8630000000000001E-3</v>
      </c>
      <c r="M35" s="31">
        <v>1.4156E-2</v>
      </c>
      <c r="N35" s="37"/>
    </row>
    <row r="36" spans="2:14" x14ac:dyDescent="0.2">
      <c r="B36" s="36"/>
      <c r="C36" s="31">
        <v>0</v>
      </c>
      <c r="D36" s="31">
        <v>120</v>
      </c>
      <c r="E36" s="31">
        <v>7</v>
      </c>
      <c r="F36" s="31" t="s">
        <v>93</v>
      </c>
      <c r="G36" s="31">
        <v>51.733759999999997</v>
      </c>
      <c r="H36" s="31">
        <v>0.62712800000000002</v>
      </c>
      <c r="I36" s="31">
        <v>8.4807450000000006</v>
      </c>
      <c r="J36" s="31">
        <v>2.37E-5</v>
      </c>
      <c r="K36" s="31">
        <v>3.7502000000000001E-2</v>
      </c>
      <c r="L36" s="31">
        <v>1.748E-3</v>
      </c>
      <c r="M36" s="31">
        <v>1.2201E-2</v>
      </c>
      <c r="N36" s="37"/>
    </row>
    <row r="37" spans="2:14" x14ac:dyDescent="0.2">
      <c r="B37" s="36"/>
      <c r="C37" s="31">
        <v>0</v>
      </c>
      <c r="D37" s="31">
        <v>120</v>
      </c>
      <c r="E37" s="31">
        <v>8</v>
      </c>
      <c r="F37" s="31" t="s">
        <v>94</v>
      </c>
      <c r="G37" s="31">
        <v>64.408280000000005</v>
      </c>
      <c r="H37" s="31">
        <v>0.42487799999999998</v>
      </c>
      <c r="I37" s="31">
        <v>10.711080000000001</v>
      </c>
      <c r="J37" s="31">
        <v>3.8699999999999999E-5</v>
      </c>
      <c r="K37" s="31">
        <v>8.1776000000000001E-2</v>
      </c>
      <c r="L37" s="31">
        <v>2.31E-4</v>
      </c>
      <c r="M37" s="31">
        <v>7.2189999999999997E-3</v>
      </c>
      <c r="N37" s="37"/>
    </row>
    <row r="38" spans="2:14" x14ac:dyDescent="0.2">
      <c r="B38" s="36"/>
      <c r="C38" s="31">
        <v>0</v>
      </c>
      <c r="D38" s="31">
        <v>120</v>
      </c>
      <c r="E38" s="31">
        <v>9</v>
      </c>
      <c r="F38" s="31" t="s">
        <v>95</v>
      </c>
      <c r="G38" s="31">
        <v>100.4786</v>
      </c>
      <c r="H38" s="31">
        <v>0.58051200000000003</v>
      </c>
      <c r="I38" s="31">
        <v>9.200564</v>
      </c>
      <c r="J38" s="31">
        <v>1.4100000000000001E-5</v>
      </c>
      <c r="K38" s="31">
        <v>6.5886E-2</v>
      </c>
      <c r="L38" s="31">
        <v>1.041E-3</v>
      </c>
      <c r="M38" s="31">
        <v>4.8809999999999999E-3</v>
      </c>
      <c r="N38" s="37"/>
    </row>
    <row r="39" spans="2:14" x14ac:dyDescent="0.2">
      <c r="B39" s="36"/>
      <c r="C39" s="31">
        <v>0</v>
      </c>
      <c r="D39" s="31">
        <v>120</v>
      </c>
      <c r="E39" s="31">
        <v>10</v>
      </c>
      <c r="F39" s="31" t="s">
        <v>96</v>
      </c>
      <c r="G39" s="31">
        <v>86.530479999999997</v>
      </c>
      <c r="H39" s="31">
        <v>0.42528100000000002</v>
      </c>
      <c r="I39" s="31">
        <v>9.1821970000000004</v>
      </c>
      <c r="J39" s="31">
        <v>3.8000000000000002E-5</v>
      </c>
      <c r="K39" s="31">
        <v>8.7722999999999995E-2</v>
      </c>
      <c r="L39" s="31">
        <v>2.0100000000000001E-4</v>
      </c>
      <c r="M39" s="31">
        <v>7.0540000000000004E-3</v>
      </c>
      <c r="N39" s="37"/>
    </row>
    <row r="40" spans="2:14" x14ac:dyDescent="0.2">
      <c r="B40" s="36"/>
      <c r="C40" s="31">
        <v>0</v>
      </c>
      <c r="D40" s="31">
        <v>120</v>
      </c>
      <c r="E40" s="31">
        <v>11</v>
      </c>
      <c r="F40" s="31" t="s">
        <v>97</v>
      </c>
      <c r="G40" s="31">
        <v>95.739090000000004</v>
      </c>
      <c r="H40" s="31">
        <v>0.47672500000000001</v>
      </c>
      <c r="I40" s="31">
        <v>8.7576479999999997</v>
      </c>
      <c r="J40" s="31">
        <v>3.15E-5</v>
      </c>
      <c r="K40" s="31">
        <v>8.5014000000000006E-2</v>
      </c>
      <c r="L40" s="31">
        <v>2.9700000000000001E-4</v>
      </c>
      <c r="M40" s="31">
        <v>4.718E-3</v>
      </c>
      <c r="N40" s="37"/>
    </row>
    <row r="41" spans="2:14" x14ac:dyDescent="0.2">
      <c r="B41" s="36"/>
      <c r="C41" s="31">
        <v>0</v>
      </c>
      <c r="D41" s="31">
        <v>120</v>
      </c>
      <c r="E41" s="31">
        <v>12</v>
      </c>
      <c r="F41" s="31" t="s">
        <v>98</v>
      </c>
      <c r="G41" s="31">
        <v>103.705</v>
      </c>
      <c r="H41" s="31">
        <v>0.48207800000000001</v>
      </c>
      <c r="I41" s="31">
        <v>8.4908839999999994</v>
      </c>
      <c r="J41" s="31">
        <v>2.9099999999999999E-5</v>
      </c>
      <c r="K41" s="31">
        <v>8.6407999999999999E-2</v>
      </c>
      <c r="L41" s="31">
        <v>2.5399999999999999E-4</v>
      </c>
      <c r="M41" s="31">
        <v>4.3470000000000002E-3</v>
      </c>
      <c r="N41" s="37"/>
    </row>
    <row r="42" spans="2:14" x14ac:dyDescent="0.2">
      <c r="B42" s="36"/>
      <c r="C42" s="31">
        <v>0</v>
      </c>
      <c r="D42" s="31">
        <v>120</v>
      </c>
      <c r="E42" s="31">
        <v>13</v>
      </c>
      <c r="F42" s="31" t="s">
        <v>99</v>
      </c>
      <c r="G42" s="31">
        <v>109.8207</v>
      </c>
      <c r="H42" s="31">
        <v>0.488207</v>
      </c>
      <c r="I42" s="31">
        <v>7.5056700000000003</v>
      </c>
      <c r="J42" s="31">
        <v>3.0899999999999999E-5</v>
      </c>
      <c r="K42" s="31">
        <v>8.1612000000000004E-2</v>
      </c>
      <c r="L42" s="31">
        <v>4.8000000000000001E-5</v>
      </c>
      <c r="M42" s="31">
        <v>4.1729999999999996E-3</v>
      </c>
      <c r="N42" s="37"/>
    </row>
    <row r="43" spans="2:14" x14ac:dyDescent="0.2">
      <c r="B43" s="36"/>
      <c r="C43" s="31">
        <v>0</v>
      </c>
      <c r="D43" s="31">
        <v>120</v>
      </c>
      <c r="E43" s="31">
        <v>14</v>
      </c>
      <c r="F43" s="31" t="s">
        <v>100</v>
      </c>
      <c r="G43" s="31">
        <v>121.5633</v>
      </c>
      <c r="H43" s="31">
        <v>0.465999</v>
      </c>
      <c r="I43" s="31">
        <v>7.9445209999999999</v>
      </c>
      <c r="J43" s="31">
        <v>2.7100000000000001E-5</v>
      </c>
      <c r="K43" s="31">
        <v>9.1666999999999998E-2</v>
      </c>
      <c r="L43" s="31">
        <v>7.4499999999999995E-5</v>
      </c>
      <c r="M43" s="31">
        <v>3.7690000000000002E-3</v>
      </c>
      <c r="N43" s="37"/>
    </row>
    <row r="44" spans="2:14" x14ac:dyDescent="0.2">
      <c r="B44" s="36"/>
      <c r="C44" s="31">
        <v>0</v>
      </c>
      <c r="D44" s="31">
        <v>120</v>
      </c>
      <c r="E44" s="31">
        <v>15</v>
      </c>
      <c r="F44" s="31" t="s">
        <v>101</v>
      </c>
      <c r="G44" s="31">
        <v>120.5663</v>
      </c>
      <c r="H44" s="31">
        <v>0.481958</v>
      </c>
      <c r="I44" s="31">
        <v>7.6964490000000003</v>
      </c>
      <c r="J44" s="31">
        <v>2.7900000000000001E-5</v>
      </c>
      <c r="K44" s="31">
        <v>8.6352999999999999E-2</v>
      </c>
      <c r="L44" s="31">
        <v>1.21E-4</v>
      </c>
      <c r="M44" s="31">
        <v>3.803E-3</v>
      </c>
      <c r="N44" s="37"/>
    </row>
    <row r="45" spans="2:14" x14ac:dyDescent="0.2">
      <c r="B45" s="36"/>
      <c r="C45" s="31">
        <v>0</v>
      </c>
      <c r="D45" s="31">
        <v>120</v>
      </c>
      <c r="E45" s="31">
        <v>16</v>
      </c>
      <c r="F45" s="31" t="s">
        <v>102</v>
      </c>
      <c r="G45" s="31">
        <v>147.22839999999999</v>
      </c>
      <c r="H45" s="31">
        <v>0.45647399999999999</v>
      </c>
      <c r="I45" s="31">
        <v>7.6837669999999996</v>
      </c>
      <c r="J45" s="31">
        <v>2.3300000000000001E-5</v>
      </c>
      <c r="K45" s="31">
        <v>9.6412999999999999E-2</v>
      </c>
      <c r="L45" s="31">
        <v>3.9799999999999998E-5</v>
      </c>
      <c r="M45" s="31">
        <v>3.1519999999999999E-3</v>
      </c>
      <c r="N45" s="37"/>
    </row>
    <row r="46" spans="2:14" x14ac:dyDescent="0.2">
      <c r="B46" s="36"/>
      <c r="C46" s="31">
        <v>0</v>
      </c>
      <c r="D46" s="31">
        <v>120</v>
      </c>
      <c r="E46" s="31">
        <v>17</v>
      </c>
      <c r="F46" s="31" t="s">
        <v>103</v>
      </c>
      <c r="G46" s="31">
        <v>170.9616</v>
      </c>
      <c r="H46" s="31">
        <v>0.46971400000000002</v>
      </c>
      <c r="I46" s="31">
        <v>7.9341730000000004</v>
      </c>
      <c r="J46" s="31">
        <v>1.88E-5</v>
      </c>
      <c r="K46" s="31">
        <v>9.8067000000000001E-2</v>
      </c>
      <c r="L46" s="31">
        <v>2.72E-4</v>
      </c>
      <c r="M46" s="31">
        <v>2.7160000000000001E-3</v>
      </c>
      <c r="N46" s="37"/>
    </row>
    <row r="47" spans="2:14" x14ac:dyDescent="0.2">
      <c r="B47" s="36"/>
      <c r="C47" s="31">
        <v>0</v>
      </c>
      <c r="D47" s="31">
        <v>120</v>
      </c>
      <c r="E47" s="31">
        <v>18</v>
      </c>
      <c r="F47" s="31" t="s">
        <v>104</v>
      </c>
      <c r="G47" s="31">
        <v>166.66900000000001</v>
      </c>
      <c r="H47" s="31">
        <v>0.45333200000000001</v>
      </c>
      <c r="I47" s="31">
        <v>7.1983499999999996</v>
      </c>
      <c r="J47" s="31">
        <v>2.2099999999999998E-5</v>
      </c>
      <c r="K47" s="31">
        <v>9.7882999999999998E-2</v>
      </c>
      <c r="L47" s="31">
        <v>-6.9999999999999994E-5</v>
      </c>
      <c r="M47" s="31">
        <v>2.8029999999999999E-3</v>
      </c>
      <c r="N47" s="37"/>
    </row>
    <row r="48" spans="2:14" x14ac:dyDescent="0.2">
      <c r="B48" s="36"/>
      <c r="C48" s="31">
        <v>0</v>
      </c>
      <c r="D48" s="31">
        <v>120</v>
      </c>
      <c r="E48" s="31">
        <v>19</v>
      </c>
      <c r="F48" s="31" t="s">
        <v>105</v>
      </c>
      <c r="G48" s="31">
        <v>187.60230000000001</v>
      </c>
      <c r="H48" s="31">
        <v>0.45952300000000001</v>
      </c>
      <c r="I48" s="31">
        <v>7.026224</v>
      </c>
      <c r="J48" s="31">
        <v>2.0000000000000002E-5</v>
      </c>
      <c r="K48" s="31">
        <v>9.8623000000000002E-2</v>
      </c>
      <c r="L48" s="31">
        <v>-3.0000000000000001E-5</v>
      </c>
      <c r="M48" s="31">
        <v>2.496E-3</v>
      </c>
      <c r="N48" s="37"/>
    </row>
    <row r="49" spans="2:14" x14ac:dyDescent="0.2">
      <c r="B49" s="36"/>
      <c r="C49" s="31">
        <v>0</v>
      </c>
      <c r="D49" s="31">
        <v>120</v>
      </c>
      <c r="E49" s="31">
        <v>20</v>
      </c>
      <c r="F49" s="31" t="s">
        <v>106</v>
      </c>
      <c r="G49" s="31">
        <v>190.26480000000001</v>
      </c>
      <c r="H49" s="31">
        <v>0.45888400000000001</v>
      </c>
      <c r="I49" s="31">
        <v>6.7527359999999996</v>
      </c>
      <c r="J49" s="31">
        <v>2.0400000000000001E-5</v>
      </c>
      <c r="K49" s="31">
        <v>9.8382999999999998E-2</v>
      </c>
      <c r="L49" s="31">
        <v>-1.2999999999999999E-4</v>
      </c>
      <c r="M49" s="31">
        <v>2.4620000000000002E-3</v>
      </c>
      <c r="N49" s="37"/>
    </row>
    <row r="50" spans="2:14" x14ac:dyDescent="0.2">
      <c r="B50" s="36"/>
      <c r="C50" s="38"/>
      <c r="D50" s="38"/>
      <c r="E50" s="38"/>
      <c r="F50" s="38"/>
      <c r="G50" s="38"/>
      <c r="H50" s="38"/>
      <c r="I50" s="38"/>
      <c r="J50" s="38"/>
      <c r="K50" s="38"/>
      <c r="L50" s="38"/>
      <c r="M50" s="38"/>
      <c r="N50" s="37"/>
    </row>
    <row r="51" spans="2:14" x14ac:dyDescent="0.2">
      <c r="B51" s="36"/>
      <c r="C51" s="30" t="s">
        <v>119</v>
      </c>
      <c r="D51" s="30" t="s">
        <v>120</v>
      </c>
      <c r="E51" s="30"/>
      <c r="F51" s="30" t="s">
        <v>107</v>
      </c>
      <c r="G51" s="30" t="s">
        <v>115</v>
      </c>
      <c r="H51" s="30" t="s">
        <v>6</v>
      </c>
      <c r="I51" s="30" t="s">
        <v>7</v>
      </c>
      <c r="J51" s="30" t="s">
        <v>8</v>
      </c>
      <c r="K51" s="30" t="s">
        <v>9</v>
      </c>
      <c r="L51" s="30" t="s">
        <v>10</v>
      </c>
      <c r="M51" s="30" t="s">
        <v>11</v>
      </c>
      <c r="N51" s="37"/>
    </row>
    <row r="52" spans="2:14" x14ac:dyDescent="0.2">
      <c r="B52" s="36"/>
      <c r="C52" s="31">
        <v>0</v>
      </c>
      <c r="D52" s="31">
        <v>300</v>
      </c>
      <c r="E52" s="31">
        <v>1</v>
      </c>
      <c r="F52" s="31" t="s">
        <v>87</v>
      </c>
      <c r="G52" s="31">
        <v>21.719449999999998</v>
      </c>
      <c r="H52" s="31">
        <v>0.68345599999999995</v>
      </c>
      <c r="I52" s="31">
        <v>8.4074080000000002</v>
      </c>
      <c r="J52" s="31">
        <v>1.7099999999999999E-5</v>
      </c>
      <c r="K52" s="31">
        <v>3.0865E-2</v>
      </c>
      <c r="L52" s="31">
        <v>6.6100000000000002E-4</v>
      </c>
      <c r="M52" s="31">
        <v>5.2795000000000002E-2</v>
      </c>
      <c r="N52" s="37"/>
    </row>
    <row r="53" spans="2:14" x14ac:dyDescent="0.2">
      <c r="B53" s="36"/>
      <c r="C53" s="31">
        <v>0</v>
      </c>
      <c r="D53" s="31">
        <v>300</v>
      </c>
      <c r="E53" s="31">
        <v>2</v>
      </c>
      <c r="F53" s="31" t="s">
        <v>88</v>
      </c>
      <c r="G53" s="31">
        <v>28.72457</v>
      </c>
      <c r="H53" s="31">
        <v>0.69016299999999997</v>
      </c>
      <c r="I53" s="31">
        <v>9.6627480000000006</v>
      </c>
      <c r="J53" s="31">
        <v>1.2500000000000001E-5</v>
      </c>
      <c r="K53" s="31">
        <v>2.8906999999999999E-2</v>
      </c>
      <c r="L53" s="31">
        <v>7.7499999999999997E-4</v>
      </c>
      <c r="M53" s="31">
        <v>4.1417000000000002E-2</v>
      </c>
      <c r="N53" s="37"/>
    </row>
    <row r="54" spans="2:14" x14ac:dyDescent="0.2">
      <c r="B54" s="36"/>
      <c r="C54" s="31">
        <v>0</v>
      </c>
      <c r="D54" s="31">
        <v>300</v>
      </c>
      <c r="E54" s="31">
        <v>3</v>
      </c>
      <c r="F54" s="31" t="s">
        <v>89</v>
      </c>
      <c r="G54" s="31">
        <v>37.543779999999998</v>
      </c>
      <c r="H54" s="31">
        <v>0.71428499999999995</v>
      </c>
      <c r="I54" s="31">
        <v>10.120229999999999</v>
      </c>
      <c r="J54" s="31">
        <v>8.8599999999999999E-6</v>
      </c>
      <c r="K54" s="31">
        <v>2.5839999999999998E-2</v>
      </c>
      <c r="L54" s="31">
        <v>8.4099999999999995E-4</v>
      </c>
      <c r="M54" s="31">
        <v>3.0384999999999999E-2</v>
      </c>
      <c r="N54" s="37"/>
    </row>
    <row r="55" spans="2:14" x14ac:dyDescent="0.2">
      <c r="B55" s="36"/>
      <c r="C55" s="31">
        <v>0</v>
      </c>
      <c r="D55" s="31">
        <v>300</v>
      </c>
      <c r="E55" s="31">
        <v>4</v>
      </c>
      <c r="F55" s="31" t="s">
        <v>90</v>
      </c>
      <c r="G55" s="31">
        <v>32.326189999999997</v>
      </c>
      <c r="H55" s="31">
        <v>0.63396699999999995</v>
      </c>
      <c r="I55" s="31">
        <v>8.0754380000000001</v>
      </c>
      <c r="J55" s="31">
        <v>1.9400000000000001E-5</v>
      </c>
      <c r="K55" s="31">
        <v>4.0550000000000003E-2</v>
      </c>
      <c r="L55" s="31">
        <v>2.3749999999999999E-3</v>
      </c>
      <c r="M55" s="31">
        <v>3.8046999999999997E-2</v>
      </c>
      <c r="N55" s="37"/>
    </row>
    <row r="56" spans="2:14" x14ac:dyDescent="0.2">
      <c r="B56" s="36"/>
      <c r="C56" s="31">
        <v>0</v>
      </c>
      <c r="D56" s="31">
        <v>300</v>
      </c>
      <c r="E56" s="31">
        <v>5</v>
      </c>
      <c r="F56" s="31" t="s">
        <v>91</v>
      </c>
      <c r="G56" s="31">
        <v>35.751350000000002</v>
      </c>
      <c r="H56" s="31">
        <v>0.67349800000000004</v>
      </c>
      <c r="I56" s="31">
        <v>7.1587480000000001</v>
      </c>
      <c r="J56" s="31">
        <v>1.88E-5</v>
      </c>
      <c r="K56" s="31">
        <v>3.5479999999999998E-2</v>
      </c>
      <c r="L56" s="31">
        <v>1.98E-3</v>
      </c>
      <c r="M56" s="31">
        <v>2.3408000000000002E-2</v>
      </c>
      <c r="N56" s="37"/>
    </row>
    <row r="57" spans="2:14" x14ac:dyDescent="0.2">
      <c r="B57" s="36"/>
      <c r="C57" s="31">
        <v>0</v>
      </c>
      <c r="D57" s="31">
        <v>300</v>
      </c>
      <c r="E57" s="31">
        <v>6</v>
      </c>
      <c r="F57" s="31" t="s">
        <v>92</v>
      </c>
      <c r="G57" s="31">
        <v>44.767090000000003</v>
      </c>
      <c r="H57" s="31">
        <v>0.67465799999999998</v>
      </c>
      <c r="I57" s="31">
        <v>5.507015</v>
      </c>
      <c r="J57" s="31">
        <v>2.6100000000000001E-5</v>
      </c>
      <c r="K57" s="31">
        <v>4.2689999999999999E-2</v>
      </c>
      <c r="L57" s="31">
        <v>1.8420000000000001E-3</v>
      </c>
      <c r="M57" s="31">
        <v>1.7887E-2</v>
      </c>
      <c r="N57" s="37"/>
    </row>
    <row r="58" spans="2:14" x14ac:dyDescent="0.2">
      <c r="B58" s="36"/>
      <c r="C58" s="31">
        <v>0</v>
      </c>
      <c r="D58" s="31">
        <v>300</v>
      </c>
      <c r="E58" s="31">
        <v>7</v>
      </c>
      <c r="F58" s="31" t="s">
        <v>93</v>
      </c>
      <c r="G58" s="31">
        <v>51.975659999999998</v>
      </c>
      <c r="H58" s="31">
        <v>0.53651899999999997</v>
      </c>
      <c r="I58" s="31">
        <v>9.2193070000000006</v>
      </c>
      <c r="J58" s="31">
        <v>4.0399999999999999E-5</v>
      </c>
      <c r="K58" s="31">
        <v>3.8001E-2</v>
      </c>
      <c r="L58" s="31">
        <v>1.66E-3</v>
      </c>
      <c r="M58" s="31">
        <v>1.7562000000000001E-2</v>
      </c>
      <c r="N58" s="37"/>
    </row>
    <row r="59" spans="2:14" x14ac:dyDescent="0.2">
      <c r="B59" s="36"/>
      <c r="C59" s="31">
        <v>0</v>
      </c>
      <c r="D59" s="31">
        <v>300</v>
      </c>
      <c r="E59" s="31">
        <v>8</v>
      </c>
      <c r="F59" s="31" t="s">
        <v>94</v>
      </c>
      <c r="G59" s="31">
        <v>65.102720000000005</v>
      </c>
      <c r="H59" s="31">
        <v>0.31579200000000002</v>
      </c>
      <c r="I59" s="31">
        <v>11.51216</v>
      </c>
      <c r="J59" s="31">
        <v>6.0600000000000003E-5</v>
      </c>
      <c r="K59" s="31">
        <v>8.2456000000000002E-2</v>
      </c>
      <c r="L59" s="31">
        <v>8.0400000000000003E-5</v>
      </c>
      <c r="M59" s="31">
        <v>9.8490000000000001E-3</v>
      </c>
      <c r="N59" s="37"/>
    </row>
    <row r="60" spans="2:14" x14ac:dyDescent="0.2">
      <c r="B60" s="36"/>
      <c r="C60" s="31">
        <v>0</v>
      </c>
      <c r="D60" s="31">
        <v>300</v>
      </c>
      <c r="E60" s="31">
        <v>9</v>
      </c>
      <c r="F60" s="31" t="s">
        <v>95</v>
      </c>
      <c r="G60" s="31">
        <v>102.61369999999999</v>
      </c>
      <c r="H60" s="31">
        <v>0.50781699999999996</v>
      </c>
      <c r="I60" s="31">
        <v>9.463476</v>
      </c>
      <c r="J60" s="31">
        <v>2.6100000000000001E-5</v>
      </c>
      <c r="K60" s="31">
        <v>6.5827999999999998E-2</v>
      </c>
      <c r="L60" s="31">
        <v>9.0899999999999998E-4</v>
      </c>
      <c r="M60" s="31">
        <v>6.6119999999999998E-3</v>
      </c>
      <c r="N60" s="37"/>
    </row>
    <row r="61" spans="2:14" x14ac:dyDescent="0.2">
      <c r="B61" s="36"/>
      <c r="C61" s="31">
        <v>0</v>
      </c>
      <c r="D61" s="31">
        <v>300</v>
      </c>
      <c r="E61" s="31">
        <v>10</v>
      </c>
      <c r="F61" s="31" t="s">
        <v>96</v>
      </c>
      <c r="G61" s="31">
        <v>87.245720000000006</v>
      </c>
      <c r="H61" s="31">
        <v>0.30745899999999998</v>
      </c>
      <c r="I61" s="31">
        <v>9.9527750000000008</v>
      </c>
      <c r="J61" s="31">
        <v>6.3800000000000006E-5</v>
      </c>
      <c r="K61" s="31">
        <v>8.8664000000000007E-2</v>
      </c>
      <c r="L61" s="31">
        <v>5.1600000000000001E-5</v>
      </c>
      <c r="M61" s="31">
        <v>9.3609999999999995E-3</v>
      </c>
      <c r="N61" s="37"/>
    </row>
    <row r="62" spans="2:14" x14ac:dyDescent="0.2">
      <c r="B62" s="36"/>
      <c r="C62" s="31">
        <v>0</v>
      </c>
      <c r="D62" s="31">
        <v>300</v>
      </c>
      <c r="E62" s="31">
        <v>11</v>
      </c>
      <c r="F62" s="31" t="s">
        <v>97</v>
      </c>
      <c r="G62" s="31">
        <v>96.62218</v>
      </c>
      <c r="H62" s="31">
        <v>0.41037899999999999</v>
      </c>
      <c r="I62" s="31">
        <v>9.0879960000000004</v>
      </c>
      <c r="J62" s="31">
        <v>4.74E-5</v>
      </c>
      <c r="K62" s="31">
        <v>8.6042999999999994E-2</v>
      </c>
      <c r="L62" s="31">
        <v>1.47E-4</v>
      </c>
      <c r="M62" s="31">
        <v>5.6550000000000003E-3</v>
      </c>
      <c r="N62" s="37"/>
    </row>
    <row r="63" spans="2:14" x14ac:dyDescent="0.2">
      <c r="B63" s="36"/>
      <c r="C63" s="31">
        <v>0</v>
      </c>
      <c r="D63" s="31">
        <v>300</v>
      </c>
      <c r="E63" s="31">
        <v>12</v>
      </c>
      <c r="F63" s="31" t="s">
        <v>98</v>
      </c>
      <c r="G63" s="31">
        <v>104.7388</v>
      </c>
      <c r="H63" s="31">
        <v>0.41730299999999998</v>
      </c>
      <c r="I63" s="31">
        <v>8.8147739999999999</v>
      </c>
      <c r="J63" s="31">
        <v>4.4700000000000002E-5</v>
      </c>
      <c r="K63" s="31">
        <v>8.7314000000000003E-2</v>
      </c>
      <c r="L63" s="31">
        <v>1.08E-4</v>
      </c>
      <c r="M63" s="31">
        <v>5.1510000000000002E-3</v>
      </c>
      <c r="N63" s="37"/>
    </row>
    <row r="64" spans="2:14" x14ac:dyDescent="0.2">
      <c r="B64" s="36"/>
      <c r="C64" s="31">
        <v>0</v>
      </c>
      <c r="D64" s="31">
        <v>300</v>
      </c>
      <c r="E64" s="31">
        <v>13</v>
      </c>
      <c r="F64" s="31" t="s">
        <v>99</v>
      </c>
      <c r="G64" s="31">
        <v>111.0581</v>
      </c>
      <c r="H64" s="31">
        <v>0.39321899999999999</v>
      </c>
      <c r="I64" s="31">
        <v>8.2346470000000007</v>
      </c>
      <c r="J64" s="31">
        <v>5.4700000000000001E-5</v>
      </c>
      <c r="K64" s="31">
        <v>8.2282999999999995E-2</v>
      </c>
      <c r="L64" s="31">
        <v>-9.0000000000000006E-5</v>
      </c>
      <c r="M64" s="31">
        <v>4.9259999999999998E-3</v>
      </c>
      <c r="N64" s="37"/>
    </row>
    <row r="65" spans="2:14" x14ac:dyDescent="0.2">
      <c r="B65" s="36"/>
      <c r="C65" s="31">
        <v>0</v>
      </c>
      <c r="D65" s="31">
        <v>300</v>
      </c>
      <c r="E65" s="31">
        <v>14</v>
      </c>
      <c r="F65" s="31" t="s">
        <v>100</v>
      </c>
      <c r="G65" s="31">
        <v>123.0926</v>
      </c>
      <c r="H65" s="31">
        <v>0.37736900000000001</v>
      </c>
      <c r="I65" s="31">
        <v>8.5714699999999997</v>
      </c>
      <c r="J65" s="31">
        <v>4.8999999999999998E-5</v>
      </c>
      <c r="K65" s="31">
        <v>9.2192999999999997E-2</v>
      </c>
      <c r="L65" s="31">
        <v>-6.7000000000000002E-5</v>
      </c>
      <c r="M65" s="31">
        <v>4.4219999999999997E-3</v>
      </c>
      <c r="N65" s="37"/>
    </row>
    <row r="66" spans="2:14" x14ac:dyDescent="0.2">
      <c r="B66" s="36"/>
      <c r="C66" s="31">
        <v>0</v>
      </c>
      <c r="D66" s="31">
        <v>300</v>
      </c>
      <c r="E66" s="31">
        <v>15</v>
      </c>
      <c r="F66" s="31" t="s">
        <v>101</v>
      </c>
      <c r="G66" s="31">
        <v>122.0029</v>
      </c>
      <c r="H66" s="31">
        <v>0.38769199999999998</v>
      </c>
      <c r="I66" s="31">
        <v>8.4018960000000007</v>
      </c>
      <c r="J66" s="31">
        <v>5.13E-5</v>
      </c>
      <c r="K66" s="31">
        <v>8.6992E-2</v>
      </c>
      <c r="L66" s="31">
        <v>-2.1999999999999999E-5</v>
      </c>
      <c r="M66" s="31">
        <v>4.4879999999999998E-3</v>
      </c>
      <c r="N66" s="37"/>
    </row>
    <row r="67" spans="2:14" x14ac:dyDescent="0.2">
      <c r="B67" s="36"/>
      <c r="C67" s="31">
        <v>0</v>
      </c>
      <c r="D67" s="31">
        <v>300</v>
      </c>
      <c r="E67" s="31">
        <v>16</v>
      </c>
      <c r="F67" s="31" t="s">
        <v>102</v>
      </c>
      <c r="G67" s="31">
        <v>149.47749999999999</v>
      </c>
      <c r="H67" s="31">
        <v>0.35631099999999999</v>
      </c>
      <c r="I67" s="31">
        <v>8.4375619999999998</v>
      </c>
      <c r="J67" s="31">
        <v>4.7800000000000003E-5</v>
      </c>
      <c r="K67" s="31">
        <v>9.6562999999999996E-2</v>
      </c>
      <c r="L67" s="31">
        <v>-9.6000000000000002E-5</v>
      </c>
      <c r="M67" s="31">
        <v>3.699E-3</v>
      </c>
      <c r="N67" s="37"/>
    </row>
    <row r="68" spans="2:14" x14ac:dyDescent="0.2">
      <c r="B68" s="36"/>
      <c r="C68" s="31">
        <v>0</v>
      </c>
      <c r="D68" s="31">
        <v>300</v>
      </c>
      <c r="E68" s="31">
        <v>17</v>
      </c>
      <c r="F68" s="31" t="s">
        <v>103</v>
      </c>
      <c r="G68" s="31">
        <v>174.0196</v>
      </c>
      <c r="H68" s="31">
        <v>0.38016100000000003</v>
      </c>
      <c r="I68" s="31">
        <v>8.5182520000000004</v>
      </c>
      <c r="J68" s="31">
        <v>4.0000000000000003E-5</v>
      </c>
      <c r="K68" s="31">
        <v>9.7963999999999996E-2</v>
      </c>
      <c r="L68" s="31">
        <v>1.35E-4</v>
      </c>
      <c r="M68" s="31">
        <v>3.1710000000000002E-3</v>
      </c>
      <c r="N68" s="37"/>
    </row>
    <row r="69" spans="2:14" x14ac:dyDescent="0.2">
      <c r="B69" s="36"/>
      <c r="C69" s="31">
        <v>0</v>
      </c>
      <c r="D69" s="31">
        <v>300</v>
      </c>
      <c r="E69" s="31">
        <v>18</v>
      </c>
      <c r="F69" s="31" t="s">
        <v>104</v>
      </c>
      <c r="G69" s="31">
        <v>169.48840000000001</v>
      </c>
      <c r="H69" s="31">
        <v>0.33756799999999998</v>
      </c>
      <c r="I69" s="31">
        <v>8.1538970000000006</v>
      </c>
      <c r="J69" s="31">
        <v>5.0500000000000001E-5</v>
      </c>
      <c r="K69" s="31">
        <v>9.7681000000000004E-2</v>
      </c>
      <c r="L69" s="31">
        <v>-2.0000000000000001E-4</v>
      </c>
      <c r="M69" s="31">
        <v>3.287E-3</v>
      </c>
      <c r="N69" s="37"/>
    </row>
    <row r="70" spans="2:14" x14ac:dyDescent="0.2">
      <c r="B70" s="36"/>
      <c r="C70" s="31">
        <v>0</v>
      </c>
      <c r="D70" s="31">
        <v>300</v>
      </c>
      <c r="E70" s="31">
        <v>19</v>
      </c>
      <c r="F70" s="31" t="s">
        <v>105</v>
      </c>
      <c r="G70" s="31">
        <v>190.83009999999999</v>
      </c>
      <c r="H70" s="31">
        <v>0.33829900000000002</v>
      </c>
      <c r="I70" s="31">
        <v>8.043317</v>
      </c>
      <c r="J70" s="31">
        <v>4.9799999999999998E-5</v>
      </c>
      <c r="K70" s="31">
        <v>9.8254999999999995E-2</v>
      </c>
      <c r="L70" s="31">
        <v>-1.4999999999999999E-4</v>
      </c>
      <c r="M70" s="31">
        <v>2.9359999999999998E-3</v>
      </c>
      <c r="N70" s="37"/>
    </row>
    <row r="71" spans="2:14" x14ac:dyDescent="0.2">
      <c r="B71" s="36"/>
      <c r="C71" s="31">
        <v>0</v>
      </c>
      <c r="D71" s="31">
        <v>300</v>
      </c>
      <c r="E71" s="31">
        <v>20</v>
      </c>
      <c r="F71" s="31" t="s">
        <v>106</v>
      </c>
      <c r="G71" s="31">
        <v>193.66810000000001</v>
      </c>
      <c r="H71" s="31">
        <v>0.33512799999999998</v>
      </c>
      <c r="I71" s="31">
        <v>7.809177</v>
      </c>
      <c r="J71" s="31">
        <v>5.0899999999999997E-5</v>
      </c>
      <c r="K71" s="31">
        <v>9.7887000000000002E-2</v>
      </c>
      <c r="L71" s="31">
        <v>-2.4000000000000001E-4</v>
      </c>
      <c r="M71" s="31">
        <v>2.8890000000000001E-3</v>
      </c>
      <c r="N71" s="37"/>
    </row>
    <row r="72" spans="2:14" x14ac:dyDescent="0.2">
      <c r="B72" s="36"/>
      <c r="C72" s="38"/>
      <c r="D72" s="38"/>
      <c r="E72" s="38"/>
      <c r="F72" s="38"/>
      <c r="G72" s="38"/>
      <c r="H72" s="38"/>
      <c r="I72" s="38"/>
      <c r="J72" s="38"/>
      <c r="K72" s="38"/>
      <c r="L72" s="38"/>
      <c r="M72" s="38"/>
      <c r="N72" s="37"/>
    </row>
    <row r="73" spans="2:14" x14ac:dyDescent="0.2">
      <c r="B73" s="36"/>
      <c r="C73" s="30" t="s">
        <v>119</v>
      </c>
      <c r="D73" s="30" t="s">
        <v>120</v>
      </c>
      <c r="E73" s="30"/>
      <c r="F73" s="30" t="s">
        <v>107</v>
      </c>
      <c r="G73" s="30" t="s">
        <v>115</v>
      </c>
      <c r="H73" s="30" t="s">
        <v>6</v>
      </c>
      <c r="I73" s="30" t="s">
        <v>7</v>
      </c>
      <c r="J73" s="30" t="s">
        <v>8</v>
      </c>
      <c r="K73" s="30" t="s">
        <v>9</v>
      </c>
      <c r="L73" s="30" t="s">
        <v>10</v>
      </c>
      <c r="M73" s="30" t="s">
        <v>11</v>
      </c>
      <c r="N73" s="37"/>
    </row>
    <row r="74" spans="2:14" x14ac:dyDescent="0.2">
      <c r="B74" s="36"/>
      <c r="C74" s="31">
        <v>4</v>
      </c>
      <c r="D74" s="31">
        <v>20</v>
      </c>
      <c r="E74" s="31">
        <v>1</v>
      </c>
      <c r="F74" s="31" t="s">
        <v>87</v>
      </c>
      <c r="G74" s="31">
        <v>21.777010000000001</v>
      </c>
      <c r="H74" s="31">
        <v>0.67664599999999997</v>
      </c>
      <c r="I74" s="31">
        <v>8.8407099999999996</v>
      </c>
      <c r="J74" s="31">
        <v>1.7799999999999999E-5</v>
      </c>
      <c r="K74" s="31">
        <v>2.9250999999999999E-2</v>
      </c>
      <c r="L74" s="31">
        <v>7.7999999999999999E-4</v>
      </c>
      <c r="M74" s="31">
        <v>5.5107000000000003E-2</v>
      </c>
      <c r="N74" s="37"/>
    </row>
    <row r="75" spans="2:14" x14ac:dyDescent="0.2">
      <c r="B75" s="36"/>
      <c r="C75" s="31">
        <v>4</v>
      </c>
      <c r="D75" s="31">
        <v>20</v>
      </c>
      <c r="E75" s="31">
        <v>2</v>
      </c>
      <c r="F75" s="31" t="s">
        <v>88</v>
      </c>
      <c r="G75" s="31">
        <v>28.777370000000001</v>
      </c>
      <c r="H75" s="31">
        <v>0.68413599999999997</v>
      </c>
      <c r="I75" s="31">
        <v>10.14324</v>
      </c>
      <c r="J75" s="31">
        <v>1.34E-5</v>
      </c>
      <c r="K75" s="31">
        <v>2.7084E-2</v>
      </c>
      <c r="L75" s="31">
        <v>9.1500000000000001E-4</v>
      </c>
      <c r="M75" s="31">
        <v>4.2771000000000003E-2</v>
      </c>
      <c r="N75" s="37"/>
    </row>
    <row r="76" spans="2:14" x14ac:dyDescent="0.2">
      <c r="B76" s="36"/>
      <c r="C76" s="31">
        <v>4</v>
      </c>
      <c r="D76" s="31">
        <v>20</v>
      </c>
      <c r="E76" s="31">
        <v>3</v>
      </c>
      <c r="F76" s="31" t="s">
        <v>89</v>
      </c>
      <c r="G76" s="31">
        <v>37.486809999999998</v>
      </c>
      <c r="H76" s="31">
        <v>0.70932700000000004</v>
      </c>
      <c r="I76" s="31">
        <v>10.69816</v>
      </c>
      <c r="J76" s="31">
        <v>1.01E-5</v>
      </c>
      <c r="K76" s="31">
        <v>2.3855999999999999E-2</v>
      </c>
      <c r="L76" s="31">
        <v>1.0089999999999999E-3</v>
      </c>
      <c r="M76" s="31">
        <v>3.0946999999999999E-2</v>
      </c>
      <c r="N76" s="37"/>
    </row>
    <row r="77" spans="2:14" x14ac:dyDescent="0.2">
      <c r="B77" s="36"/>
      <c r="C77" s="31">
        <v>4</v>
      </c>
      <c r="D77" s="31">
        <v>20</v>
      </c>
      <c r="E77" s="31">
        <v>4</v>
      </c>
      <c r="F77" s="31" t="s">
        <v>90</v>
      </c>
      <c r="G77" s="31">
        <v>32.542659999999998</v>
      </c>
      <c r="H77" s="31">
        <v>0.65605500000000005</v>
      </c>
      <c r="I77" s="31">
        <v>8.0872609999999998</v>
      </c>
      <c r="J77" s="31">
        <v>1.1600000000000001E-5</v>
      </c>
      <c r="K77" s="31">
        <v>3.8363000000000001E-2</v>
      </c>
      <c r="L77" s="31">
        <v>2.4759999999999999E-3</v>
      </c>
      <c r="M77" s="31">
        <v>5.1734000000000002E-2</v>
      </c>
      <c r="N77" s="37"/>
    </row>
    <row r="78" spans="2:14" x14ac:dyDescent="0.2">
      <c r="B78" s="36"/>
      <c r="C78" s="31">
        <v>4</v>
      </c>
      <c r="D78" s="31">
        <v>20</v>
      </c>
      <c r="E78" s="31">
        <v>5</v>
      </c>
      <c r="F78" s="31" t="s">
        <v>91</v>
      </c>
      <c r="G78" s="31">
        <v>35.892980000000001</v>
      </c>
      <c r="H78" s="31">
        <v>0.69921500000000003</v>
      </c>
      <c r="I78" s="31">
        <v>7.0086380000000004</v>
      </c>
      <c r="J78" s="31">
        <v>1.2799999999999999E-5</v>
      </c>
      <c r="K78" s="31">
        <v>3.4033000000000001E-2</v>
      </c>
      <c r="L78" s="31">
        <v>2.0769999999999999E-3</v>
      </c>
      <c r="M78" s="31">
        <v>2.5696E-2</v>
      </c>
      <c r="N78" s="37"/>
    </row>
    <row r="79" spans="2:14" x14ac:dyDescent="0.2">
      <c r="B79" s="36"/>
      <c r="C79" s="31">
        <v>4</v>
      </c>
      <c r="D79" s="31">
        <v>20</v>
      </c>
      <c r="E79" s="31">
        <v>6</v>
      </c>
      <c r="F79" s="31" t="s">
        <v>92</v>
      </c>
      <c r="G79" s="31">
        <v>45.389009999999999</v>
      </c>
      <c r="H79" s="31">
        <v>0.66682699999999995</v>
      </c>
      <c r="I79" s="31">
        <v>6.0297890000000001</v>
      </c>
      <c r="J79" s="31">
        <v>1.9899999999999999E-5</v>
      </c>
      <c r="K79" s="31">
        <v>4.0337999999999999E-2</v>
      </c>
      <c r="L79" s="31">
        <v>1.9300000000000001E-3</v>
      </c>
      <c r="M79" s="31">
        <v>3.3109E-2</v>
      </c>
      <c r="N79" s="37"/>
    </row>
    <row r="80" spans="2:14" x14ac:dyDescent="0.2">
      <c r="B80" s="36"/>
      <c r="C80" s="31">
        <v>4</v>
      </c>
      <c r="D80" s="31">
        <v>20</v>
      </c>
      <c r="E80" s="31">
        <v>7</v>
      </c>
      <c r="F80" s="31" t="s">
        <v>93</v>
      </c>
      <c r="G80" s="31">
        <v>52.299399999999999</v>
      </c>
      <c r="H80" s="31">
        <v>0.61539200000000005</v>
      </c>
      <c r="I80" s="31">
        <v>8.4548419999999993</v>
      </c>
      <c r="J80" s="31">
        <v>1.31E-5</v>
      </c>
      <c r="K80" s="31">
        <v>3.5674999999999998E-2</v>
      </c>
      <c r="L80" s="31">
        <v>1.8240000000000001E-3</v>
      </c>
      <c r="M80" s="31">
        <v>2.9212999999999999E-2</v>
      </c>
      <c r="N80" s="37"/>
    </row>
    <row r="81" spans="2:14" x14ac:dyDescent="0.2">
      <c r="B81" s="36"/>
      <c r="C81" s="31">
        <v>4</v>
      </c>
      <c r="D81" s="31">
        <v>20</v>
      </c>
      <c r="E81" s="31">
        <v>8</v>
      </c>
      <c r="F81" s="31" t="s">
        <v>94</v>
      </c>
      <c r="G81" s="31">
        <v>70.526669999999996</v>
      </c>
      <c r="H81" s="31">
        <v>0.40264</v>
      </c>
      <c r="I81" s="31">
        <v>9.2032880000000006</v>
      </c>
      <c r="J81" s="31">
        <v>1.0200000000000001E-5</v>
      </c>
      <c r="K81" s="31">
        <v>7.2623999999999994E-2</v>
      </c>
      <c r="L81" s="31">
        <v>3.6900000000000002E-4</v>
      </c>
      <c r="M81" s="31">
        <v>2.5285999999999999E-2</v>
      </c>
      <c r="N81" s="37"/>
    </row>
    <row r="82" spans="2:14" x14ac:dyDescent="0.2">
      <c r="B82" s="36"/>
      <c r="C82" s="31">
        <v>4</v>
      </c>
      <c r="D82" s="31">
        <v>20</v>
      </c>
      <c r="E82" s="31">
        <v>9</v>
      </c>
      <c r="F82" s="31" t="s">
        <v>95</v>
      </c>
      <c r="G82" s="31">
        <v>107.7354</v>
      </c>
      <c r="H82" s="31">
        <v>0.58361499999999999</v>
      </c>
      <c r="I82" s="31">
        <v>7.3847069999999997</v>
      </c>
      <c r="J82" s="31">
        <v>-5.0000000000000004E-6</v>
      </c>
      <c r="K82" s="31">
        <v>6.2057000000000001E-2</v>
      </c>
      <c r="L82" s="31">
        <v>9.0399999999999996E-4</v>
      </c>
      <c r="M82" s="31">
        <v>1.559E-2</v>
      </c>
      <c r="N82" s="37"/>
    </row>
    <row r="83" spans="2:14" x14ac:dyDescent="0.2">
      <c r="B83" s="36"/>
      <c r="C83" s="31">
        <v>4</v>
      </c>
      <c r="D83" s="31">
        <v>20</v>
      </c>
      <c r="E83" s="31">
        <v>10</v>
      </c>
      <c r="F83" s="31" t="s">
        <v>96</v>
      </c>
      <c r="G83" s="31">
        <v>93.790899999999993</v>
      </c>
      <c r="H83" s="31">
        <v>0.32470300000000002</v>
      </c>
      <c r="I83" s="31">
        <v>9.4393229999999999</v>
      </c>
      <c r="J83" s="31">
        <v>2.0599999999999999E-5</v>
      </c>
      <c r="K83" s="31">
        <v>8.1556000000000003E-2</v>
      </c>
      <c r="L83" s="31">
        <v>2.5300000000000002E-4</v>
      </c>
      <c r="M83" s="31">
        <v>2.1187000000000001E-2</v>
      </c>
      <c r="N83" s="37"/>
    </row>
    <row r="84" spans="2:14" x14ac:dyDescent="0.2">
      <c r="B84" s="36"/>
      <c r="C84" s="31">
        <v>4</v>
      </c>
      <c r="D84" s="31">
        <v>20</v>
      </c>
      <c r="E84" s="31">
        <v>11</v>
      </c>
      <c r="F84" s="31" t="s">
        <v>97</v>
      </c>
      <c r="G84" s="31">
        <v>103.9641</v>
      </c>
      <c r="H84" s="31">
        <v>0.36253800000000003</v>
      </c>
      <c r="I84" s="31">
        <v>8.6772480000000005</v>
      </c>
      <c r="J84" s="31">
        <v>1.59E-5</v>
      </c>
      <c r="K84" s="31">
        <v>7.9563999999999996E-2</v>
      </c>
      <c r="L84" s="31">
        <v>2.8699999999999998E-4</v>
      </c>
      <c r="M84" s="31">
        <v>1.7641E-2</v>
      </c>
      <c r="N84" s="37"/>
    </row>
    <row r="85" spans="2:14" x14ac:dyDescent="0.2">
      <c r="B85" s="36"/>
      <c r="C85" s="31">
        <v>4</v>
      </c>
      <c r="D85" s="31">
        <v>20</v>
      </c>
      <c r="E85" s="31">
        <v>12</v>
      </c>
      <c r="F85" s="31" t="s">
        <v>98</v>
      </c>
      <c r="G85" s="31">
        <v>113.1935</v>
      </c>
      <c r="H85" s="31">
        <v>0.37258200000000002</v>
      </c>
      <c r="I85" s="31">
        <v>8.0973600000000001</v>
      </c>
      <c r="J85" s="31">
        <v>1.2500000000000001E-5</v>
      </c>
      <c r="K85" s="31">
        <v>8.0522999999999997E-2</v>
      </c>
      <c r="L85" s="31">
        <v>2.1499999999999999E-4</v>
      </c>
      <c r="M85" s="31">
        <v>1.6133000000000002E-2</v>
      </c>
      <c r="N85" s="37"/>
    </row>
    <row r="86" spans="2:14" x14ac:dyDescent="0.2">
      <c r="B86" s="36"/>
      <c r="C86" s="31">
        <v>4</v>
      </c>
      <c r="D86" s="31">
        <v>20</v>
      </c>
      <c r="E86" s="31">
        <v>13</v>
      </c>
      <c r="F86" s="31" t="s">
        <v>99</v>
      </c>
      <c r="G86" s="31">
        <v>122.7591</v>
      </c>
      <c r="H86" s="31">
        <v>0.364701</v>
      </c>
      <c r="I86" s="31">
        <v>6.9797209999999996</v>
      </c>
      <c r="J86" s="31">
        <v>1.2E-5</v>
      </c>
      <c r="K86" s="31">
        <v>7.4483999999999995E-2</v>
      </c>
      <c r="L86" s="31">
        <v>-4.0000000000000003E-5</v>
      </c>
      <c r="M86" s="31">
        <v>1.5089E-2</v>
      </c>
      <c r="N86" s="37"/>
    </row>
    <row r="87" spans="2:14" x14ac:dyDescent="0.2">
      <c r="B87" s="36"/>
      <c r="C87" s="31">
        <v>4</v>
      </c>
      <c r="D87" s="31">
        <v>20</v>
      </c>
      <c r="E87" s="31">
        <v>14</v>
      </c>
      <c r="F87" s="31" t="s">
        <v>100</v>
      </c>
      <c r="G87" s="31">
        <v>135.79329999999999</v>
      </c>
      <c r="H87" s="31">
        <v>0.35646800000000001</v>
      </c>
      <c r="I87" s="31">
        <v>7.0873799999999996</v>
      </c>
      <c r="J87" s="31">
        <v>7.0600000000000002E-6</v>
      </c>
      <c r="K87" s="31">
        <v>8.3405000000000007E-2</v>
      </c>
      <c r="L87" s="31">
        <v>8.5099999999999998E-6</v>
      </c>
      <c r="M87" s="31">
        <v>1.3615E-2</v>
      </c>
      <c r="N87" s="37"/>
    </row>
    <row r="88" spans="2:14" x14ac:dyDescent="0.2">
      <c r="B88" s="36"/>
      <c r="C88" s="31">
        <v>4</v>
      </c>
      <c r="D88" s="31">
        <v>20</v>
      </c>
      <c r="E88" s="31">
        <v>15</v>
      </c>
      <c r="F88" s="31" t="s">
        <v>101</v>
      </c>
      <c r="G88" s="31">
        <v>135.06909999999999</v>
      </c>
      <c r="H88" s="31">
        <v>0.35733999999999999</v>
      </c>
      <c r="I88" s="31">
        <v>7.0314949999999996</v>
      </c>
      <c r="J88" s="31">
        <v>9.8600000000000005E-6</v>
      </c>
      <c r="K88" s="31">
        <v>7.8876000000000002E-2</v>
      </c>
      <c r="L88" s="31">
        <v>3.7200000000000003E-5</v>
      </c>
      <c r="M88" s="31">
        <v>1.3819E-2</v>
      </c>
      <c r="N88" s="37"/>
    </row>
    <row r="89" spans="2:14" x14ac:dyDescent="0.2">
      <c r="B89" s="36"/>
      <c r="C89" s="31">
        <v>4</v>
      </c>
      <c r="D89" s="31">
        <v>20</v>
      </c>
      <c r="E89" s="31">
        <v>16</v>
      </c>
      <c r="F89" s="31" t="s">
        <v>102</v>
      </c>
      <c r="G89" s="31">
        <v>170.3588</v>
      </c>
      <c r="H89" s="31">
        <v>0.36610999999999999</v>
      </c>
      <c r="I89" s="31">
        <v>6.362374</v>
      </c>
      <c r="J89" s="31">
        <v>-4.1999999999999999E-8</v>
      </c>
      <c r="K89" s="31">
        <v>8.4516999999999995E-2</v>
      </c>
      <c r="L89" s="31">
        <v>-5.3000000000000001E-5</v>
      </c>
      <c r="M89" s="31">
        <v>1.0825E-2</v>
      </c>
      <c r="N89" s="37"/>
    </row>
    <row r="90" spans="2:14" x14ac:dyDescent="0.2">
      <c r="B90" s="36"/>
      <c r="C90" s="31">
        <v>4</v>
      </c>
      <c r="D90" s="31">
        <v>20</v>
      </c>
      <c r="E90" s="31">
        <v>17</v>
      </c>
      <c r="F90" s="31" t="s">
        <v>103</v>
      </c>
      <c r="G90" s="31">
        <v>197.00980000000001</v>
      </c>
      <c r="H90" s="31">
        <v>0.39385300000000001</v>
      </c>
      <c r="I90" s="31">
        <v>6.4894150000000002</v>
      </c>
      <c r="J90" s="31">
        <v>-4.0999999999999997E-6</v>
      </c>
      <c r="K90" s="31">
        <v>8.5982000000000003E-2</v>
      </c>
      <c r="L90" s="31">
        <v>1.7000000000000001E-4</v>
      </c>
      <c r="M90" s="31">
        <v>9.3030000000000005E-3</v>
      </c>
      <c r="N90" s="37"/>
    </row>
    <row r="91" spans="2:14" x14ac:dyDescent="0.2">
      <c r="B91" s="36"/>
      <c r="C91" s="31">
        <v>4</v>
      </c>
      <c r="D91" s="31">
        <v>20</v>
      </c>
      <c r="E91" s="31">
        <v>18</v>
      </c>
      <c r="F91" s="31" t="s">
        <v>104</v>
      </c>
      <c r="G91" s="31">
        <v>199.41890000000001</v>
      </c>
      <c r="H91" s="31">
        <v>0.36889899999999998</v>
      </c>
      <c r="I91" s="31">
        <v>5.8747189999999998</v>
      </c>
      <c r="J91" s="31">
        <v>-3.1E-6</v>
      </c>
      <c r="K91" s="31">
        <v>8.2276000000000002E-2</v>
      </c>
      <c r="L91" s="31">
        <v>-1.3999999999999999E-4</v>
      </c>
      <c r="M91" s="31">
        <v>8.9820000000000004E-3</v>
      </c>
      <c r="N91" s="37"/>
    </row>
    <row r="92" spans="2:14" x14ac:dyDescent="0.2">
      <c r="B92" s="36"/>
      <c r="C92" s="31">
        <v>4</v>
      </c>
      <c r="D92" s="31">
        <v>20</v>
      </c>
      <c r="E92" s="31">
        <v>19</v>
      </c>
      <c r="F92" s="31" t="s">
        <v>105</v>
      </c>
      <c r="G92" s="31">
        <v>227.15950000000001</v>
      </c>
      <c r="H92" s="31">
        <v>0.37254900000000002</v>
      </c>
      <c r="I92" s="31">
        <v>5.8713470000000001</v>
      </c>
      <c r="J92" s="31">
        <v>-4.0999999999999997E-6</v>
      </c>
      <c r="K92" s="31">
        <v>8.1962999999999994E-2</v>
      </c>
      <c r="L92" s="31">
        <v>-1.2E-4</v>
      </c>
      <c r="M92" s="31">
        <v>7.8270000000000006E-3</v>
      </c>
      <c r="N92" s="37"/>
    </row>
    <row r="93" spans="2:14" x14ac:dyDescent="0.2">
      <c r="B93" s="36"/>
      <c r="C93" s="31">
        <v>4</v>
      </c>
      <c r="D93" s="31">
        <v>20</v>
      </c>
      <c r="E93" s="31">
        <v>20</v>
      </c>
      <c r="F93" s="31" t="s">
        <v>106</v>
      </c>
      <c r="G93" s="31">
        <v>233.9273</v>
      </c>
      <c r="H93" s="31">
        <v>0.359344</v>
      </c>
      <c r="I93" s="31">
        <v>5.6427490000000002</v>
      </c>
      <c r="J93" s="31">
        <v>-2.7999999999999999E-6</v>
      </c>
      <c r="K93" s="31">
        <v>8.0346000000000001E-2</v>
      </c>
      <c r="L93" s="31">
        <v>-1.9000000000000001E-4</v>
      </c>
      <c r="M93" s="31">
        <v>7.639E-3</v>
      </c>
      <c r="N93" s="37"/>
    </row>
    <row r="94" spans="2:14" x14ac:dyDescent="0.2">
      <c r="B94" s="36"/>
      <c r="C94" s="38"/>
      <c r="D94" s="38"/>
      <c r="E94" s="38"/>
      <c r="F94" s="38"/>
      <c r="G94" s="38"/>
      <c r="H94" s="38"/>
      <c r="I94" s="38"/>
      <c r="J94" s="38"/>
      <c r="K94" s="38"/>
      <c r="L94" s="38"/>
      <c r="M94" s="38"/>
      <c r="N94" s="37"/>
    </row>
    <row r="95" spans="2:14" x14ac:dyDescent="0.2">
      <c r="B95" s="36"/>
      <c r="C95" s="30" t="s">
        <v>119</v>
      </c>
      <c r="D95" s="30" t="s">
        <v>120</v>
      </c>
      <c r="E95" s="30"/>
      <c r="F95" s="30" t="s">
        <v>107</v>
      </c>
      <c r="G95" s="30" t="s">
        <v>115</v>
      </c>
      <c r="H95" s="30" t="s">
        <v>6</v>
      </c>
      <c r="I95" s="30" t="s">
        <v>7</v>
      </c>
      <c r="J95" s="30" t="s">
        <v>8</v>
      </c>
      <c r="K95" s="30" t="s">
        <v>9</v>
      </c>
      <c r="L95" s="30" t="s">
        <v>10</v>
      </c>
      <c r="M95" s="30" t="s">
        <v>11</v>
      </c>
      <c r="N95" s="37"/>
    </row>
    <row r="96" spans="2:14" x14ac:dyDescent="0.2">
      <c r="B96" s="36"/>
      <c r="C96" s="31">
        <v>4</v>
      </c>
      <c r="D96" s="31">
        <v>120</v>
      </c>
      <c r="E96" s="31">
        <v>1</v>
      </c>
      <c r="F96" s="31" t="s">
        <v>87</v>
      </c>
      <c r="G96" s="31">
        <v>21.783750000000001</v>
      </c>
      <c r="H96" s="31">
        <v>0.67814399999999997</v>
      </c>
      <c r="I96" s="31">
        <v>8.7012789999999995</v>
      </c>
      <c r="J96" s="31">
        <v>1.73E-5</v>
      </c>
      <c r="K96" s="31">
        <v>2.9765E-2</v>
      </c>
      <c r="L96" s="31">
        <v>7.3200000000000001E-4</v>
      </c>
      <c r="M96" s="31">
        <v>5.7671E-2</v>
      </c>
      <c r="N96" s="37"/>
    </row>
    <row r="97" spans="2:14" x14ac:dyDescent="0.2">
      <c r="B97" s="36"/>
      <c r="C97" s="31">
        <v>4</v>
      </c>
      <c r="D97" s="31">
        <v>120</v>
      </c>
      <c r="E97" s="31">
        <v>2</v>
      </c>
      <c r="F97" s="31" t="s">
        <v>88</v>
      </c>
      <c r="G97" s="31">
        <v>28.79335</v>
      </c>
      <c r="H97" s="31">
        <v>0.685639</v>
      </c>
      <c r="I97" s="31">
        <v>9.9902580000000007</v>
      </c>
      <c r="J97" s="31">
        <v>1.2799999999999999E-5</v>
      </c>
      <c r="K97" s="31">
        <v>2.7607E-2</v>
      </c>
      <c r="L97" s="31">
        <v>8.6499999999999999E-4</v>
      </c>
      <c r="M97" s="31">
        <v>4.5123999999999997E-2</v>
      </c>
      <c r="N97" s="37"/>
    </row>
    <row r="98" spans="2:14" x14ac:dyDescent="0.2">
      <c r="B98" s="36"/>
      <c r="C98" s="31">
        <v>4</v>
      </c>
      <c r="D98" s="31">
        <v>120</v>
      </c>
      <c r="E98" s="31">
        <v>3</v>
      </c>
      <c r="F98" s="31" t="s">
        <v>89</v>
      </c>
      <c r="G98" s="31">
        <v>37.527769999999997</v>
      </c>
      <c r="H98" s="31">
        <v>0.71086400000000005</v>
      </c>
      <c r="I98" s="31">
        <v>10.52145</v>
      </c>
      <c r="J98" s="31">
        <v>9.4399999999999994E-6</v>
      </c>
      <c r="K98" s="31">
        <v>2.4393000000000001E-2</v>
      </c>
      <c r="L98" s="31">
        <v>9.5500000000000001E-4</v>
      </c>
      <c r="M98" s="31">
        <v>3.3158E-2</v>
      </c>
      <c r="N98" s="37"/>
    </row>
    <row r="99" spans="2:14" x14ac:dyDescent="0.2">
      <c r="B99" s="36"/>
      <c r="C99" s="31">
        <v>4</v>
      </c>
      <c r="D99" s="31">
        <v>120</v>
      </c>
      <c r="E99" s="31">
        <v>4</v>
      </c>
      <c r="F99" s="31" t="s">
        <v>90</v>
      </c>
      <c r="G99" s="31">
        <v>32.561909999999997</v>
      </c>
      <c r="H99" s="31">
        <v>0.65499700000000005</v>
      </c>
      <c r="I99" s="31">
        <v>7.9934589999999996</v>
      </c>
      <c r="J99" s="31">
        <v>1.13E-5</v>
      </c>
      <c r="K99" s="31">
        <v>3.8859999999999999E-2</v>
      </c>
      <c r="L99" s="31">
        <v>2.4290000000000002E-3</v>
      </c>
      <c r="M99" s="31">
        <v>5.3304999999999998E-2</v>
      </c>
      <c r="N99" s="37"/>
    </row>
    <row r="100" spans="2:14" x14ac:dyDescent="0.2">
      <c r="B100" s="36"/>
      <c r="C100" s="31">
        <v>4</v>
      </c>
      <c r="D100" s="31">
        <v>120</v>
      </c>
      <c r="E100" s="31">
        <v>5</v>
      </c>
      <c r="F100" s="31" t="s">
        <v>91</v>
      </c>
      <c r="G100" s="31">
        <v>35.920780000000001</v>
      </c>
      <c r="H100" s="31">
        <v>0.69550299999999998</v>
      </c>
      <c r="I100" s="31">
        <v>6.9777399999999998</v>
      </c>
      <c r="J100" s="31">
        <v>1.3200000000000001E-5</v>
      </c>
      <c r="K100" s="31">
        <v>3.4346000000000002E-2</v>
      </c>
      <c r="L100" s="31">
        <v>2.0430000000000001E-3</v>
      </c>
      <c r="M100" s="31">
        <v>2.6956000000000001E-2</v>
      </c>
      <c r="N100" s="37"/>
    </row>
    <row r="101" spans="2:14" x14ac:dyDescent="0.2">
      <c r="B101" s="36"/>
      <c r="C101" s="31">
        <v>4</v>
      </c>
      <c r="D101" s="31">
        <v>120</v>
      </c>
      <c r="E101" s="31">
        <v>6</v>
      </c>
      <c r="F101" s="31" t="s">
        <v>92</v>
      </c>
      <c r="G101" s="31">
        <v>45.38908</v>
      </c>
      <c r="H101" s="31">
        <v>0.676261</v>
      </c>
      <c r="I101" s="31">
        <v>5.7630520000000001</v>
      </c>
      <c r="J101" s="31">
        <v>1.7799999999999999E-5</v>
      </c>
      <c r="K101" s="31">
        <v>4.0911000000000003E-2</v>
      </c>
      <c r="L101" s="31">
        <v>1.884E-3</v>
      </c>
      <c r="M101" s="31">
        <v>3.3457000000000001E-2</v>
      </c>
      <c r="N101" s="37"/>
    </row>
    <row r="102" spans="2:14" x14ac:dyDescent="0.2">
      <c r="B102" s="36"/>
      <c r="C102" s="31">
        <v>4</v>
      </c>
      <c r="D102" s="31">
        <v>120</v>
      </c>
      <c r="E102" s="31">
        <v>7</v>
      </c>
      <c r="F102" s="31" t="s">
        <v>93</v>
      </c>
      <c r="G102" s="31">
        <v>52.335850000000001</v>
      </c>
      <c r="H102" s="31">
        <v>0.626162</v>
      </c>
      <c r="I102" s="31">
        <v>8.1307089999999995</v>
      </c>
      <c r="J102" s="31">
        <v>1.1600000000000001E-5</v>
      </c>
      <c r="K102" s="31">
        <v>3.5909000000000003E-2</v>
      </c>
      <c r="L102" s="31">
        <v>1.7780000000000001E-3</v>
      </c>
      <c r="M102" s="31">
        <v>2.9485999999999998E-2</v>
      </c>
      <c r="N102" s="37"/>
    </row>
    <row r="103" spans="2:14" x14ac:dyDescent="0.2">
      <c r="B103" s="36"/>
      <c r="C103" s="31">
        <v>4</v>
      </c>
      <c r="D103" s="31">
        <v>120</v>
      </c>
      <c r="E103" s="31">
        <v>8</v>
      </c>
      <c r="F103" s="31" t="s">
        <v>94</v>
      </c>
      <c r="G103" s="31">
        <v>70.619600000000005</v>
      </c>
      <c r="H103" s="31">
        <v>0.40698499999999999</v>
      </c>
      <c r="I103" s="31">
        <v>9.0733639999999998</v>
      </c>
      <c r="J103" s="31">
        <v>9.7599999999999997E-6</v>
      </c>
      <c r="K103" s="31">
        <v>7.2418999999999997E-2</v>
      </c>
      <c r="L103" s="31">
        <v>3.6200000000000002E-4</v>
      </c>
      <c r="M103" s="31">
        <v>2.5295000000000002E-2</v>
      </c>
      <c r="N103" s="37"/>
    </row>
    <row r="104" spans="2:14" x14ac:dyDescent="0.2">
      <c r="B104" s="36"/>
      <c r="C104" s="31">
        <v>4</v>
      </c>
      <c r="D104" s="31">
        <v>120</v>
      </c>
      <c r="E104" s="31">
        <v>9</v>
      </c>
      <c r="F104" s="31" t="s">
        <v>95</v>
      </c>
      <c r="G104" s="31">
        <v>108.45</v>
      </c>
      <c r="H104" s="31">
        <v>0.577681</v>
      </c>
      <c r="I104" s="31">
        <v>7.3624340000000004</v>
      </c>
      <c r="J104" s="31">
        <v>-4.5000000000000001E-6</v>
      </c>
      <c r="K104" s="31">
        <v>6.1631999999999999E-2</v>
      </c>
      <c r="L104" s="31">
        <v>8.9899999999999995E-4</v>
      </c>
      <c r="M104" s="31">
        <v>1.5528E-2</v>
      </c>
      <c r="N104" s="37"/>
    </row>
    <row r="105" spans="2:14" x14ac:dyDescent="0.2">
      <c r="B105" s="36"/>
      <c r="C105" s="31">
        <v>4</v>
      </c>
      <c r="D105" s="31">
        <v>120</v>
      </c>
      <c r="E105" s="31">
        <v>10</v>
      </c>
      <c r="F105" s="31" t="s">
        <v>96</v>
      </c>
      <c r="G105" s="31">
        <v>93.67407</v>
      </c>
      <c r="H105" s="31">
        <v>0.356962</v>
      </c>
      <c r="I105" s="31">
        <v>8.7853259999999995</v>
      </c>
      <c r="J105" s="31">
        <v>1.52E-5</v>
      </c>
      <c r="K105" s="31">
        <v>8.1087999999999993E-2</v>
      </c>
      <c r="L105" s="31">
        <v>2.4499999999999999E-4</v>
      </c>
      <c r="M105" s="31">
        <v>2.1264000000000002E-2</v>
      </c>
      <c r="N105" s="37"/>
    </row>
    <row r="106" spans="2:14" x14ac:dyDescent="0.2">
      <c r="B106" s="36"/>
      <c r="C106" s="31">
        <v>4</v>
      </c>
      <c r="D106" s="31">
        <v>120</v>
      </c>
      <c r="E106" s="31">
        <v>11</v>
      </c>
      <c r="F106" s="31" t="s">
        <v>97</v>
      </c>
      <c r="G106" s="31">
        <v>104.0333</v>
      </c>
      <c r="H106" s="31">
        <v>0.39164500000000002</v>
      </c>
      <c r="I106" s="31">
        <v>8.0652659999999994</v>
      </c>
      <c r="J106" s="31">
        <v>1.17E-5</v>
      </c>
      <c r="K106" s="31">
        <v>7.8760999999999998E-2</v>
      </c>
      <c r="L106" s="31">
        <v>2.8600000000000001E-4</v>
      </c>
      <c r="M106" s="31">
        <v>1.7668E-2</v>
      </c>
      <c r="N106" s="37"/>
    </row>
    <row r="107" spans="2:14" x14ac:dyDescent="0.2">
      <c r="B107" s="36"/>
      <c r="C107" s="31">
        <v>4</v>
      </c>
      <c r="D107" s="31">
        <v>120</v>
      </c>
      <c r="E107" s="31">
        <v>12</v>
      </c>
      <c r="F107" s="31" t="s">
        <v>98</v>
      </c>
      <c r="G107" s="31">
        <v>113.4547</v>
      </c>
      <c r="H107" s="31">
        <v>0.39773700000000001</v>
      </c>
      <c r="I107" s="31">
        <v>7.535838</v>
      </c>
      <c r="J107" s="31">
        <v>9.0000000000000002E-6</v>
      </c>
      <c r="K107" s="31">
        <v>7.9532000000000005E-2</v>
      </c>
      <c r="L107" s="31">
        <v>2.2000000000000001E-4</v>
      </c>
      <c r="M107" s="31">
        <v>1.6145E-2</v>
      </c>
      <c r="N107" s="37"/>
    </row>
    <row r="108" spans="2:14" x14ac:dyDescent="0.2">
      <c r="B108" s="36"/>
      <c r="C108" s="31">
        <v>4</v>
      </c>
      <c r="D108" s="31">
        <v>120</v>
      </c>
      <c r="E108" s="31">
        <v>13</v>
      </c>
      <c r="F108" s="31" t="s">
        <v>99</v>
      </c>
      <c r="G108" s="31">
        <v>123.48860000000001</v>
      </c>
      <c r="H108" s="31">
        <v>0.37206</v>
      </c>
      <c r="I108" s="31">
        <v>6.7110329999999996</v>
      </c>
      <c r="J108" s="31">
        <v>1.19E-5</v>
      </c>
      <c r="K108" s="31">
        <v>7.2960999999999998E-2</v>
      </c>
      <c r="L108" s="31">
        <v>5.0000000000000004E-6</v>
      </c>
      <c r="M108" s="31">
        <v>1.5069000000000001E-2</v>
      </c>
      <c r="N108" s="37"/>
    </row>
    <row r="109" spans="2:14" x14ac:dyDescent="0.2">
      <c r="B109" s="36"/>
      <c r="C109" s="31">
        <v>4</v>
      </c>
      <c r="D109" s="31">
        <v>120</v>
      </c>
      <c r="E109" s="31">
        <v>14</v>
      </c>
      <c r="F109" s="31" t="s">
        <v>100</v>
      </c>
      <c r="G109" s="31">
        <v>137.3535</v>
      </c>
      <c r="H109" s="31">
        <v>0.354016</v>
      </c>
      <c r="I109" s="31">
        <v>6.9240069999999996</v>
      </c>
      <c r="J109" s="31">
        <v>8.5399999999999996E-6</v>
      </c>
      <c r="K109" s="31">
        <v>8.1304000000000001E-2</v>
      </c>
      <c r="L109" s="31">
        <v>6.5199999999999999E-5</v>
      </c>
      <c r="M109" s="31">
        <v>1.3544E-2</v>
      </c>
      <c r="N109" s="37"/>
    </row>
    <row r="110" spans="2:14" x14ac:dyDescent="0.2">
      <c r="B110" s="36"/>
      <c r="C110" s="31">
        <v>4</v>
      </c>
      <c r="D110" s="31">
        <v>120</v>
      </c>
      <c r="E110" s="31">
        <v>15</v>
      </c>
      <c r="F110" s="31" t="s">
        <v>101</v>
      </c>
      <c r="G110" s="31">
        <v>135.90430000000001</v>
      </c>
      <c r="H110" s="31">
        <v>0.36141899999999999</v>
      </c>
      <c r="I110" s="31">
        <v>6.825939</v>
      </c>
      <c r="J110" s="31">
        <v>1.0499999999999999E-5</v>
      </c>
      <c r="K110" s="31">
        <v>7.7203999999999995E-2</v>
      </c>
      <c r="L110" s="31">
        <v>9.1000000000000003E-5</v>
      </c>
      <c r="M110" s="31">
        <v>1.3802999999999999E-2</v>
      </c>
      <c r="N110" s="37"/>
    </row>
    <row r="111" spans="2:14" x14ac:dyDescent="0.2">
      <c r="B111" s="36"/>
      <c r="C111" s="31">
        <v>4</v>
      </c>
      <c r="D111" s="31">
        <v>120</v>
      </c>
      <c r="E111" s="31">
        <v>16</v>
      </c>
      <c r="F111" s="31" t="s">
        <v>102</v>
      </c>
      <c r="G111" s="31">
        <v>173.2381</v>
      </c>
      <c r="H111" s="31">
        <v>0.35888700000000001</v>
      </c>
      <c r="I111" s="31">
        <v>6.2038390000000003</v>
      </c>
      <c r="J111" s="31">
        <v>2.04E-6</v>
      </c>
      <c r="K111" s="31">
        <v>8.2041000000000003E-2</v>
      </c>
      <c r="L111" s="31">
        <v>5.2000000000000002E-6</v>
      </c>
      <c r="M111" s="31">
        <v>1.0723E-2</v>
      </c>
      <c r="N111" s="37"/>
    </row>
    <row r="112" spans="2:14" x14ac:dyDescent="0.2">
      <c r="B112" s="36"/>
      <c r="C112" s="31">
        <v>4</v>
      </c>
      <c r="D112" s="31">
        <v>120</v>
      </c>
      <c r="E112" s="31">
        <v>17</v>
      </c>
      <c r="F112" s="31" t="s">
        <v>103</v>
      </c>
      <c r="G112" s="31">
        <v>200.40600000000001</v>
      </c>
      <c r="H112" s="31">
        <v>0.38849400000000001</v>
      </c>
      <c r="I112" s="31">
        <v>6.2801629999999999</v>
      </c>
      <c r="J112" s="31">
        <v>-2.9000000000000002E-6</v>
      </c>
      <c r="K112" s="31">
        <v>8.3660999999999999E-2</v>
      </c>
      <c r="L112" s="31">
        <v>2.1100000000000001E-4</v>
      </c>
      <c r="M112" s="31">
        <v>9.2110000000000004E-3</v>
      </c>
      <c r="N112" s="37"/>
    </row>
    <row r="113" spans="2:14" x14ac:dyDescent="0.2">
      <c r="B113" s="36"/>
      <c r="C113" s="31">
        <v>4</v>
      </c>
      <c r="D113" s="31">
        <v>120</v>
      </c>
      <c r="E113" s="31">
        <v>18</v>
      </c>
      <c r="F113" s="31" t="s">
        <v>104</v>
      </c>
      <c r="G113" s="31">
        <v>202.3999</v>
      </c>
      <c r="H113" s="31">
        <v>0.36824099999999999</v>
      </c>
      <c r="I113" s="31">
        <v>5.6222750000000001</v>
      </c>
      <c r="J113" s="31">
        <v>-2.6000000000000001E-6</v>
      </c>
      <c r="K113" s="31">
        <v>8.0238000000000004E-2</v>
      </c>
      <c r="L113" s="31">
        <v>-9.7999999999999997E-5</v>
      </c>
      <c r="M113" s="31">
        <v>8.9040000000000005E-3</v>
      </c>
      <c r="N113" s="37"/>
    </row>
    <row r="114" spans="2:14" x14ac:dyDescent="0.2">
      <c r="B114" s="36"/>
      <c r="C114" s="31">
        <v>4</v>
      </c>
      <c r="D114" s="31">
        <v>120</v>
      </c>
      <c r="E114" s="31">
        <v>19</v>
      </c>
      <c r="F114" s="31" t="s">
        <v>105</v>
      </c>
      <c r="G114" s="31">
        <v>230.3998</v>
      </c>
      <c r="H114" s="31">
        <v>0.37451299999999998</v>
      </c>
      <c r="I114" s="31">
        <v>5.5771949999999997</v>
      </c>
      <c r="J114" s="31">
        <v>-4.4000000000000002E-6</v>
      </c>
      <c r="K114" s="31">
        <v>8.0046000000000006E-2</v>
      </c>
      <c r="L114" s="31">
        <v>-8.2999999999999998E-5</v>
      </c>
      <c r="M114" s="31">
        <v>7.7650000000000002E-3</v>
      </c>
      <c r="N114" s="37"/>
    </row>
    <row r="115" spans="2:14" x14ac:dyDescent="0.2">
      <c r="B115" s="36"/>
      <c r="C115" s="31">
        <v>4</v>
      </c>
      <c r="D115" s="31">
        <v>120</v>
      </c>
      <c r="E115" s="31">
        <v>20</v>
      </c>
      <c r="F115" s="31" t="s">
        <v>106</v>
      </c>
      <c r="G115" s="31">
        <v>237.07550000000001</v>
      </c>
      <c r="H115" s="31">
        <v>0.36048400000000003</v>
      </c>
      <c r="I115" s="31">
        <v>5.3775190000000004</v>
      </c>
      <c r="J115" s="31">
        <v>-2.7E-6</v>
      </c>
      <c r="K115" s="31">
        <v>7.8521999999999995E-2</v>
      </c>
      <c r="L115" s="31">
        <v>-1.4999999999999999E-4</v>
      </c>
      <c r="M115" s="31">
        <v>7.5849999999999997E-3</v>
      </c>
      <c r="N115" s="37"/>
    </row>
    <row r="116" spans="2:14" x14ac:dyDescent="0.2">
      <c r="B116" s="36"/>
      <c r="C116" s="38"/>
      <c r="D116" s="38"/>
      <c r="E116" s="38"/>
      <c r="F116" s="38"/>
      <c r="G116" s="38"/>
      <c r="H116" s="38"/>
      <c r="I116" s="38"/>
      <c r="J116" s="38"/>
      <c r="K116" s="38"/>
      <c r="L116" s="38"/>
      <c r="M116" s="38"/>
      <c r="N116" s="37"/>
    </row>
    <row r="117" spans="2:14" x14ac:dyDescent="0.2">
      <c r="B117" s="36"/>
      <c r="C117" s="30" t="s">
        <v>119</v>
      </c>
      <c r="D117" s="30" t="s">
        <v>120</v>
      </c>
      <c r="E117" s="30"/>
      <c r="F117" s="30" t="s">
        <v>107</v>
      </c>
      <c r="G117" s="30" t="s">
        <v>115</v>
      </c>
      <c r="H117" s="30" t="s">
        <v>6</v>
      </c>
      <c r="I117" s="30" t="s">
        <v>7</v>
      </c>
      <c r="J117" s="30" t="s">
        <v>8</v>
      </c>
      <c r="K117" s="30" t="s">
        <v>9</v>
      </c>
      <c r="L117" s="30" t="s">
        <v>10</v>
      </c>
      <c r="M117" s="30" t="s">
        <v>11</v>
      </c>
      <c r="N117" s="37"/>
    </row>
    <row r="118" spans="2:14" x14ac:dyDescent="0.2">
      <c r="B118" s="36"/>
      <c r="C118" s="31">
        <v>4</v>
      </c>
      <c r="D118" s="31">
        <v>300</v>
      </c>
      <c r="E118" s="31">
        <v>1</v>
      </c>
      <c r="F118" s="31" t="s">
        <v>87</v>
      </c>
      <c r="G118" s="31">
        <v>21.839549999999999</v>
      </c>
      <c r="H118" s="31">
        <v>0.67650999999999994</v>
      </c>
      <c r="I118" s="31">
        <v>8.3685159999999996</v>
      </c>
      <c r="J118" s="31">
        <v>1.6500000000000001E-5</v>
      </c>
      <c r="K118" s="31">
        <v>3.0691E-2</v>
      </c>
      <c r="L118" s="31">
        <v>6.4599999999999998E-4</v>
      </c>
      <c r="M118" s="31">
        <v>6.6877000000000006E-2</v>
      </c>
      <c r="N118" s="37"/>
    </row>
    <row r="119" spans="2:14" x14ac:dyDescent="0.2">
      <c r="B119" s="36"/>
      <c r="C119" s="31">
        <v>4</v>
      </c>
      <c r="D119" s="31">
        <v>300</v>
      </c>
      <c r="E119" s="31">
        <v>2</v>
      </c>
      <c r="F119" s="31" t="s">
        <v>88</v>
      </c>
      <c r="G119" s="31">
        <v>28.91282</v>
      </c>
      <c r="H119" s="31">
        <v>0.68420800000000004</v>
      </c>
      <c r="I119" s="31">
        <v>9.5814050000000002</v>
      </c>
      <c r="J119" s="31">
        <v>1.1600000000000001E-5</v>
      </c>
      <c r="K119" s="31">
        <v>2.8669E-2</v>
      </c>
      <c r="L119" s="31">
        <v>7.6300000000000001E-4</v>
      </c>
      <c r="M119" s="31">
        <v>5.3384000000000001E-2</v>
      </c>
      <c r="N119" s="37"/>
    </row>
    <row r="120" spans="2:14" x14ac:dyDescent="0.2">
      <c r="B120" s="36"/>
      <c r="C120" s="31">
        <v>4</v>
      </c>
      <c r="D120" s="31">
        <v>300</v>
      </c>
      <c r="E120" s="31">
        <v>3</v>
      </c>
      <c r="F120" s="31" t="s">
        <v>89</v>
      </c>
      <c r="G120" s="31">
        <v>37.791510000000002</v>
      </c>
      <c r="H120" s="31">
        <v>0.708847</v>
      </c>
      <c r="I120" s="31">
        <v>10.03177</v>
      </c>
      <c r="J120" s="31">
        <v>7.9899999999999997E-6</v>
      </c>
      <c r="K120" s="31">
        <v>2.5576000000000002E-2</v>
      </c>
      <c r="L120" s="31">
        <v>8.34E-4</v>
      </c>
      <c r="M120" s="31">
        <v>4.0301999999999998E-2</v>
      </c>
      <c r="N120" s="37"/>
    </row>
    <row r="121" spans="2:14" x14ac:dyDescent="0.2">
      <c r="B121" s="36"/>
      <c r="C121" s="31">
        <v>4</v>
      </c>
      <c r="D121" s="31">
        <v>300</v>
      </c>
      <c r="E121" s="31">
        <v>4</v>
      </c>
      <c r="F121" s="31" t="s">
        <v>90</v>
      </c>
      <c r="G121" s="31">
        <v>32.712240000000001</v>
      </c>
      <c r="H121" s="31">
        <v>0.63667499999999999</v>
      </c>
      <c r="I121" s="31">
        <v>7.8538930000000002</v>
      </c>
      <c r="J121" s="31">
        <v>1.29E-5</v>
      </c>
      <c r="K121" s="31">
        <v>3.9884999999999997E-2</v>
      </c>
      <c r="L121" s="31">
        <v>2.3180000000000002E-3</v>
      </c>
      <c r="M121" s="31">
        <v>6.1080000000000002E-2</v>
      </c>
      <c r="N121" s="37"/>
    </row>
    <row r="122" spans="2:14" x14ac:dyDescent="0.2">
      <c r="B122" s="36"/>
      <c r="C122" s="31">
        <v>4</v>
      </c>
      <c r="D122" s="31">
        <v>300</v>
      </c>
      <c r="E122" s="31">
        <v>5</v>
      </c>
      <c r="F122" s="31" t="s">
        <v>91</v>
      </c>
      <c r="G122" s="31">
        <v>36.136879999999998</v>
      </c>
      <c r="H122" s="31">
        <v>0.67245999999999995</v>
      </c>
      <c r="I122" s="31">
        <v>6.971711</v>
      </c>
      <c r="J122" s="31">
        <v>1.6399999999999999E-5</v>
      </c>
      <c r="K122" s="31">
        <v>3.4999000000000002E-2</v>
      </c>
      <c r="L122" s="31">
        <v>1.9580000000000001E-3</v>
      </c>
      <c r="M122" s="31">
        <v>3.2128999999999998E-2</v>
      </c>
      <c r="N122" s="37"/>
    </row>
    <row r="123" spans="2:14" x14ac:dyDescent="0.2">
      <c r="B123" s="36"/>
      <c r="C123" s="31">
        <v>4</v>
      </c>
      <c r="D123" s="31">
        <v>300</v>
      </c>
      <c r="E123" s="31">
        <v>6</v>
      </c>
      <c r="F123" s="31" t="s">
        <v>92</v>
      </c>
      <c r="G123" s="31">
        <v>45.449680000000001</v>
      </c>
      <c r="H123" s="31">
        <v>0.68148200000000003</v>
      </c>
      <c r="I123" s="31">
        <v>5.4367700000000001</v>
      </c>
      <c r="J123" s="31">
        <v>1.6500000000000001E-5</v>
      </c>
      <c r="K123" s="31">
        <v>4.1368000000000002E-2</v>
      </c>
      <c r="L123" s="31">
        <v>1.8320000000000001E-3</v>
      </c>
      <c r="M123" s="31">
        <v>3.5492000000000003E-2</v>
      </c>
      <c r="N123" s="37"/>
    </row>
    <row r="124" spans="2:14" x14ac:dyDescent="0.2">
      <c r="B124" s="36"/>
      <c r="C124" s="31">
        <v>4</v>
      </c>
      <c r="D124" s="31">
        <v>300</v>
      </c>
      <c r="E124" s="31">
        <v>7</v>
      </c>
      <c r="F124" s="31" t="s">
        <v>93</v>
      </c>
      <c r="G124" s="31">
        <v>52.663849999999996</v>
      </c>
      <c r="H124" s="31">
        <v>0.62790800000000002</v>
      </c>
      <c r="I124" s="31">
        <v>7.6423230000000002</v>
      </c>
      <c r="J124" s="31">
        <v>1.2300000000000001E-5</v>
      </c>
      <c r="K124" s="31">
        <v>3.6157000000000002E-2</v>
      </c>
      <c r="L124" s="31">
        <v>1.6930000000000001E-3</v>
      </c>
      <c r="M124" s="31">
        <v>3.0682000000000001E-2</v>
      </c>
      <c r="N124" s="37"/>
    </row>
    <row r="125" spans="2:14" x14ac:dyDescent="0.2">
      <c r="B125" s="36"/>
      <c r="C125" s="31">
        <v>4</v>
      </c>
      <c r="D125" s="31">
        <v>300</v>
      </c>
      <c r="E125" s="31">
        <v>8</v>
      </c>
      <c r="F125" s="31" t="s">
        <v>94</v>
      </c>
      <c r="G125" s="31">
        <v>71.345690000000005</v>
      </c>
      <c r="H125" s="31">
        <v>0.41848000000000002</v>
      </c>
      <c r="I125" s="31">
        <v>8.5115010000000009</v>
      </c>
      <c r="J125" s="31">
        <v>9.5999999999999996E-6</v>
      </c>
      <c r="K125" s="31">
        <v>7.1809999999999999E-2</v>
      </c>
      <c r="L125" s="31">
        <v>3.0200000000000002E-4</v>
      </c>
      <c r="M125" s="31">
        <v>2.5287E-2</v>
      </c>
      <c r="N125" s="37"/>
    </row>
    <row r="126" spans="2:14" x14ac:dyDescent="0.2">
      <c r="B126" s="36"/>
      <c r="C126" s="31">
        <v>4</v>
      </c>
      <c r="D126" s="31">
        <v>300</v>
      </c>
      <c r="E126" s="31">
        <v>9</v>
      </c>
      <c r="F126" s="31" t="s">
        <v>95</v>
      </c>
      <c r="G126" s="31">
        <v>111.128</v>
      </c>
      <c r="H126" s="31">
        <v>0.55463399999999996</v>
      </c>
      <c r="I126" s="31">
        <v>7.2166129999999997</v>
      </c>
      <c r="J126" s="31">
        <v>-1.3E-6</v>
      </c>
      <c r="K126" s="31">
        <v>6.0151000000000003E-2</v>
      </c>
      <c r="L126" s="31">
        <v>8.7200000000000005E-4</v>
      </c>
      <c r="M126" s="31">
        <v>1.5511E-2</v>
      </c>
      <c r="N126" s="37"/>
    </row>
    <row r="127" spans="2:14" x14ac:dyDescent="0.2">
      <c r="B127" s="36"/>
      <c r="C127" s="31">
        <v>4</v>
      </c>
      <c r="D127" s="31">
        <v>300</v>
      </c>
      <c r="E127" s="31">
        <v>10</v>
      </c>
      <c r="F127" s="31" t="s">
        <v>96</v>
      </c>
      <c r="G127" s="31">
        <v>94.85839</v>
      </c>
      <c r="H127" s="31">
        <v>0.37460900000000003</v>
      </c>
      <c r="I127" s="31">
        <v>8.1272380000000002</v>
      </c>
      <c r="J127" s="31">
        <v>1.38E-5</v>
      </c>
      <c r="K127" s="31">
        <v>7.9938999999999996E-2</v>
      </c>
      <c r="L127" s="31">
        <v>1.9100000000000001E-4</v>
      </c>
      <c r="M127" s="31">
        <v>2.1131E-2</v>
      </c>
      <c r="N127" s="37"/>
    </row>
    <row r="128" spans="2:14" x14ac:dyDescent="0.2">
      <c r="B128" s="36"/>
      <c r="C128" s="31">
        <v>4</v>
      </c>
      <c r="D128" s="31">
        <v>300</v>
      </c>
      <c r="E128" s="31">
        <v>11</v>
      </c>
      <c r="F128" s="31" t="s">
        <v>97</v>
      </c>
      <c r="G128" s="31">
        <v>105.0509</v>
      </c>
      <c r="H128" s="31">
        <v>0.41828700000000002</v>
      </c>
      <c r="I128" s="31">
        <v>7.2935100000000004</v>
      </c>
      <c r="J128" s="31">
        <v>8.3799999999999994E-6</v>
      </c>
      <c r="K128" s="31">
        <v>7.8037999999999996E-2</v>
      </c>
      <c r="L128" s="31">
        <v>2.1900000000000001E-4</v>
      </c>
      <c r="M128" s="31">
        <v>1.7552999999999999E-2</v>
      </c>
      <c r="N128" s="37"/>
    </row>
    <row r="129" spans="2:14" x14ac:dyDescent="0.2">
      <c r="B129" s="36"/>
      <c r="C129" s="31">
        <v>4</v>
      </c>
      <c r="D129" s="31">
        <v>300</v>
      </c>
      <c r="E129" s="31">
        <v>12</v>
      </c>
      <c r="F129" s="31" t="s">
        <v>98</v>
      </c>
      <c r="G129" s="31">
        <v>114.611</v>
      </c>
      <c r="H129" s="31">
        <v>0.41839500000000002</v>
      </c>
      <c r="I129" s="31">
        <v>6.8684539999999998</v>
      </c>
      <c r="J129" s="31">
        <v>6.8600000000000004E-6</v>
      </c>
      <c r="K129" s="31">
        <v>7.8712000000000004E-2</v>
      </c>
      <c r="L129" s="31">
        <v>1.6200000000000001E-4</v>
      </c>
      <c r="M129" s="31">
        <v>1.6059E-2</v>
      </c>
      <c r="N129" s="37"/>
    </row>
    <row r="130" spans="2:14" x14ac:dyDescent="0.2">
      <c r="B130" s="36"/>
      <c r="C130" s="31">
        <v>4</v>
      </c>
      <c r="D130" s="31">
        <v>300</v>
      </c>
      <c r="E130" s="31">
        <v>13</v>
      </c>
      <c r="F130" s="31" t="s">
        <v>99</v>
      </c>
      <c r="G130" s="31">
        <v>125.3302</v>
      </c>
      <c r="H130" s="31">
        <v>0.368537</v>
      </c>
      <c r="I130" s="31">
        <v>6.482005</v>
      </c>
      <c r="J130" s="31">
        <v>1.56E-5</v>
      </c>
      <c r="K130" s="31">
        <v>7.1479000000000001E-2</v>
      </c>
      <c r="L130" s="31">
        <v>-8.6000000000000007E-6</v>
      </c>
      <c r="M130" s="31">
        <v>1.4917E-2</v>
      </c>
      <c r="N130" s="37"/>
    </row>
    <row r="131" spans="2:14" x14ac:dyDescent="0.2">
      <c r="B131" s="36"/>
      <c r="C131" s="31">
        <v>4</v>
      </c>
      <c r="D131" s="31">
        <v>300</v>
      </c>
      <c r="E131" s="31">
        <v>14</v>
      </c>
      <c r="F131" s="31" t="s">
        <v>100</v>
      </c>
      <c r="G131" s="31">
        <v>140.0574</v>
      </c>
      <c r="H131" s="31">
        <v>0.34842899999999999</v>
      </c>
      <c r="I131" s="31">
        <v>6.6755139999999997</v>
      </c>
      <c r="J131" s="31">
        <v>1.2099999999999999E-5</v>
      </c>
      <c r="K131" s="31">
        <v>7.9379000000000005E-2</v>
      </c>
      <c r="L131" s="31">
        <v>5.0300000000000003E-5</v>
      </c>
      <c r="M131" s="31">
        <v>1.3344E-2</v>
      </c>
      <c r="N131" s="37"/>
    </row>
    <row r="132" spans="2:14" x14ac:dyDescent="0.2">
      <c r="B132" s="36"/>
      <c r="C132" s="31">
        <v>4</v>
      </c>
      <c r="D132" s="31">
        <v>300</v>
      </c>
      <c r="E132" s="31">
        <v>15</v>
      </c>
      <c r="F132" s="31" t="s">
        <v>101</v>
      </c>
      <c r="G132" s="31">
        <v>138.0403</v>
      </c>
      <c r="H132" s="31">
        <v>0.36127399999999998</v>
      </c>
      <c r="I132" s="31">
        <v>6.5305080000000002</v>
      </c>
      <c r="J132" s="31">
        <v>1.34E-5</v>
      </c>
      <c r="K132" s="31">
        <v>7.5656000000000001E-2</v>
      </c>
      <c r="L132" s="31">
        <v>7.1500000000000003E-5</v>
      </c>
      <c r="M132" s="31">
        <v>1.3639999999999999E-2</v>
      </c>
      <c r="N132" s="37"/>
    </row>
    <row r="133" spans="2:14" x14ac:dyDescent="0.2">
      <c r="B133" s="36"/>
      <c r="C133" s="31">
        <v>4</v>
      </c>
      <c r="D133" s="31">
        <v>300</v>
      </c>
      <c r="E133" s="31">
        <v>16</v>
      </c>
      <c r="F133" s="31" t="s">
        <v>102</v>
      </c>
      <c r="G133" s="31">
        <v>177.20150000000001</v>
      </c>
      <c r="H133" s="31">
        <v>0.34513300000000002</v>
      </c>
      <c r="I133" s="31">
        <v>6.0491529999999996</v>
      </c>
      <c r="J133" s="31">
        <v>6.7800000000000003E-6</v>
      </c>
      <c r="K133" s="31">
        <v>7.9958000000000001E-2</v>
      </c>
      <c r="L133" s="31">
        <v>-4.5000000000000001E-6</v>
      </c>
      <c r="M133" s="31">
        <v>1.0557E-2</v>
      </c>
      <c r="N133" s="37"/>
    </row>
    <row r="134" spans="2:14" x14ac:dyDescent="0.2">
      <c r="B134" s="36"/>
      <c r="C134" s="31">
        <v>4</v>
      </c>
      <c r="D134" s="31">
        <v>300</v>
      </c>
      <c r="E134" s="31">
        <v>17</v>
      </c>
      <c r="F134" s="31" t="s">
        <v>103</v>
      </c>
      <c r="G134" s="31">
        <v>204.9486</v>
      </c>
      <c r="H134" s="31">
        <v>0.378299</v>
      </c>
      <c r="I134" s="31">
        <v>6.0517010000000004</v>
      </c>
      <c r="J134" s="31">
        <v>2.9999999999999999E-7</v>
      </c>
      <c r="K134" s="31">
        <v>8.165E-2</v>
      </c>
      <c r="L134" s="31">
        <v>1.94E-4</v>
      </c>
      <c r="M134" s="31">
        <v>9.0699999999999999E-3</v>
      </c>
      <c r="N134" s="37"/>
    </row>
    <row r="135" spans="2:14" x14ac:dyDescent="0.2">
      <c r="B135" s="36"/>
      <c r="C135" s="31">
        <v>4</v>
      </c>
      <c r="D135" s="31">
        <v>300</v>
      </c>
      <c r="E135" s="31">
        <v>18</v>
      </c>
      <c r="F135" s="31" t="s">
        <v>104</v>
      </c>
      <c r="G135" s="31">
        <v>206.22980000000001</v>
      </c>
      <c r="H135" s="31">
        <v>0.36377999999999999</v>
      </c>
      <c r="I135" s="31">
        <v>5.3483099999999997</v>
      </c>
      <c r="J135" s="31">
        <v>-5.4000000000000002E-7</v>
      </c>
      <c r="K135" s="31">
        <v>7.8621999999999997E-2</v>
      </c>
      <c r="L135" s="31">
        <v>-1.1E-4</v>
      </c>
      <c r="M135" s="31">
        <v>8.7950000000000007E-3</v>
      </c>
      <c r="N135" s="37"/>
    </row>
    <row r="136" spans="2:14" x14ac:dyDescent="0.2">
      <c r="B136" s="36"/>
      <c r="C136" s="31">
        <v>4</v>
      </c>
      <c r="D136" s="31">
        <v>300</v>
      </c>
      <c r="E136" s="31">
        <v>19</v>
      </c>
      <c r="F136" s="31" t="s">
        <v>105</v>
      </c>
      <c r="G136" s="31">
        <v>234.38079999999999</v>
      </c>
      <c r="H136" s="31">
        <v>0.37475999999999998</v>
      </c>
      <c r="I136" s="31">
        <v>5.2357950000000004</v>
      </c>
      <c r="J136" s="31">
        <v>-3.8999999999999999E-6</v>
      </c>
      <c r="K136" s="31">
        <v>7.8592999999999996E-2</v>
      </c>
      <c r="L136" s="31">
        <v>-9.6000000000000002E-5</v>
      </c>
      <c r="M136" s="31">
        <v>7.685E-3</v>
      </c>
      <c r="N136" s="37"/>
    </row>
    <row r="137" spans="2:14" x14ac:dyDescent="0.2">
      <c r="B137" s="36"/>
      <c r="C137" s="31">
        <v>4</v>
      </c>
      <c r="D137" s="31">
        <v>300</v>
      </c>
      <c r="E137" s="31">
        <v>20</v>
      </c>
      <c r="F137" s="31" t="s">
        <v>106</v>
      </c>
      <c r="G137" s="31">
        <v>240.91489999999999</v>
      </c>
      <c r="H137" s="31">
        <v>0.35989100000000002</v>
      </c>
      <c r="I137" s="31">
        <v>5.070919</v>
      </c>
      <c r="J137" s="31">
        <v>-1.9E-6</v>
      </c>
      <c r="K137" s="31">
        <v>7.7170000000000002E-2</v>
      </c>
      <c r="L137" s="31">
        <v>-1.6000000000000001E-4</v>
      </c>
      <c r="M137" s="31">
        <v>7.515E-3</v>
      </c>
      <c r="N137" s="37"/>
    </row>
    <row r="138" spans="2:14" x14ac:dyDescent="0.2">
      <c r="B138" s="36"/>
      <c r="C138" s="38"/>
      <c r="D138" s="38"/>
      <c r="E138" s="38"/>
      <c r="F138" s="38"/>
      <c r="G138" s="38"/>
      <c r="H138" s="38"/>
      <c r="I138" s="38"/>
      <c r="J138" s="38"/>
      <c r="K138" s="38"/>
      <c r="L138" s="38"/>
      <c r="M138" s="38"/>
      <c r="N138" s="37"/>
    </row>
    <row r="139" spans="2:14" x14ac:dyDescent="0.2">
      <c r="B139" s="36"/>
      <c r="C139" s="30" t="s">
        <v>119</v>
      </c>
      <c r="D139" s="30" t="s">
        <v>120</v>
      </c>
      <c r="E139" s="30"/>
      <c r="F139" s="30" t="s">
        <v>107</v>
      </c>
      <c r="G139" s="30" t="s">
        <v>115</v>
      </c>
      <c r="H139" s="30" t="s">
        <v>6</v>
      </c>
      <c r="I139" s="30" t="s">
        <v>7</v>
      </c>
      <c r="J139" s="30" t="s">
        <v>8</v>
      </c>
      <c r="K139" s="30" t="s">
        <v>9</v>
      </c>
      <c r="L139" s="30" t="s">
        <v>10</v>
      </c>
      <c r="M139" s="30" t="s">
        <v>11</v>
      </c>
      <c r="N139" s="37"/>
    </row>
    <row r="140" spans="2:14" x14ac:dyDescent="0.2">
      <c r="B140" s="36"/>
      <c r="C140" s="31">
        <v>6</v>
      </c>
      <c r="D140" s="31">
        <v>20</v>
      </c>
      <c r="E140" s="31">
        <v>1</v>
      </c>
      <c r="F140" s="31" t="s">
        <v>87</v>
      </c>
      <c r="G140" s="31">
        <v>21.999040000000001</v>
      </c>
      <c r="H140" s="31">
        <v>0.66467299999999996</v>
      </c>
      <c r="I140" s="31">
        <v>8.6861309999999996</v>
      </c>
      <c r="J140" s="31">
        <v>1.6200000000000001E-5</v>
      </c>
      <c r="K140" s="31">
        <v>2.8962000000000002E-2</v>
      </c>
      <c r="L140" s="31">
        <v>7.5699999999999997E-4</v>
      </c>
      <c r="M140" s="31">
        <v>8.1558000000000005E-2</v>
      </c>
      <c r="N140" s="37"/>
    </row>
    <row r="141" spans="2:14" x14ac:dyDescent="0.2">
      <c r="B141" s="36"/>
      <c r="C141" s="31">
        <v>6</v>
      </c>
      <c r="D141" s="31">
        <v>20</v>
      </c>
      <c r="E141" s="31">
        <v>2</v>
      </c>
      <c r="F141" s="31" t="s">
        <v>88</v>
      </c>
      <c r="G141" s="31">
        <v>29.084160000000001</v>
      </c>
      <c r="H141" s="31">
        <v>0.67019300000000004</v>
      </c>
      <c r="I141" s="31">
        <v>9.9963270000000009</v>
      </c>
      <c r="J141" s="31">
        <v>1.17E-5</v>
      </c>
      <c r="K141" s="31">
        <v>2.7050000000000001E-2</v>
      </c>
      <c r="L141" s="31">
        <v>8.6799999999999996E-4</v>
      </c>
      <c r="M141" s="31">
        <v>6.6379999999999995E-2</v>
      </c>
      <c r="N141" s="37"/>
    </row>
    <row r="142" spans="2:14" x14ac:dyDescent="0.2">
      <c r="B142" s="36"/>
      <c r="C142" s="31">
        <v>6</v>
      </c>
      <c r="D142" s="31">
        <v>20</v>
      </c>
      <c r="E142" s="31">
        <v>3</v>
      </c>
      <c r="F142" s="31" t="s">
        <v>89</v>
      </c>
      <c r="G142" s="31">
        <v>37.928199999999997</v>
      </c>
      <c r="H142" s="31">
        <v>0.701291</v>
      </c>
      <c r="I142" s="31">
        <v>10.403969999999999</v>
      </c>
      <c r="J142" s="31">
        <v>8.85E-6</v>
      </c>
      <c r="K142" s="31">
        <v>2.4018000000000001E-2</v>
      </c>
      <c r="L142" s="31">
        <v>9.5699999999999995E-4</v>
      </c>
      <c r="M142" s="31">
        <v>4.5477999999999998E-2</v>
      </c>
      <c r="N142" s="37"/>
    </row>
    <row r="143" spans="2:14" x14ac:dyDescent="0.2">
      <c r="B143" s="36"/>
      <c r="C143" s="31">
        <v>6</v>
      </c>
      <c r="D143" s="31">
        <v>20</v>
      </c>
      <c r="E143" s="31">
        <v>4</v>
      </c>
      <c r="F143" s="31" t="s">
        <v>90</v>
      </c>
      <c r="G143" s="31">
        <v>33.279110000000003</v>
      </c>
      <c r="H143" s="31">
        <v>0.66287200000000002</v>
      </c>
      <c r="I143" s="31">
        <v>7.0269450000000004</v>
      </c>
      <c r="J143" s="31">
        <v>3.19E-6</v>
      </c>
      <c r="K143" s="31">
        <v>3.8163000000000002E-2</v>
      </c>
      <c r="L143" s="31">
        <v>2.3930000000000002E-3</v>
      </c>
      <c r="M143" s="31">
        <v>9.0493000000000004E-2</v>
      </c>
      <c r="N143" s="37"/>
    </row>
    <row r="144" spans="2:14" x14ac:dyDescent="0.2">
      <c r="B144" s="36"/>
      <c r="C144" s="31">
        <v>6</v>
      </c>
      <c r="D144" s="31">
        <v>20</v>
      </c>
      <c r="E144" s="31">
        <v>5</v>
      </c>
      <c r="F144" s="31" t="s">
        <v>91</v>
      </c>
      <c r="G144" s="31">
        <v>36.530439999999999</v>
      </c>
      <c r="H144" s="31">
        <v>0.66879500000000003</v>
      </c>
      <c r="I144" s="31">
        <v>7.0050410000000003</v>
      </c>
      <c r="J144" s="31">
        <v>9.4499999999999993E-6</v>
      </c>
      <c r="K144" s="31">
        <v>3.2973000000000002E-2</v>
      </c>
      <c r="L144" s="31">
        <v>2.0430000000000001E-3</v>
      </c>
      <c r="M144" s="31">
        <v>5.1212000000000001E-2</v>
      </c>
      <c r="N144" s="37"/>
    </row>
    <row r="145" spans="2:14" x14ac:dyDescent="0.2">
      <c r="B145" s="36"/>
      <c r="C145" s="31">
        <v>6</v>
      </c>
      <c r="D145" s="31">
        <v>20</v>
      </c>
      <c r="E145" s="31">
        <v>6</v>
      </c>
      <c r="F145" s="31" t="s">
        <v>92</v>
      </c>
      <c r="G145" s="31">
        <v>46.501469999999998</v>
      </c>
      <c r="H145" s="31">
        <v>0.64947500000000002</v>
      </c>
      <c r="I145" s="31">
        <v>5.6405570000000003</v>
      </c>
      <c r="J145" s="31">
        <v>1.2500000000000001E-5</v>
      </c>
      <c r="K145" s="31">
        <v>3.9829000000000003E-2</v>
      </c>
      <c r="L145" s="31">
        <v>1.897E-3</v>
      </c>
      <c r="M145" s="31">
        <v>6.2144999999999999E-2</v>
      </c>
      <c r="N145" s="37"/>
    </row>
    <row r="146" spans="2:14" x14ac:dyDescent="0.2">
      <c r="B146" s="36"/>
      <c r="C146" s="31">
        <v>6</v>
      </c>
      <c r="D146" s="31">
        <v>20</v>
      </c>
      <c r="E146" s="31">
        <v>7</v>
      </c>
      <c r="F146" s="31" t="s">
        <v>93</v>
      </c>
      <c r="G146" s="31">
        <v>53.467880000000001</v>
      </c>
      <c r="H146" s="31">
        <v>0.57036100000000001</v>
      </c>
      <c r="I146" s="31">
        <v>8.3042979999999993</v>
      </c>
      <c r="J146" s="31">
        <v>1.15E-5</v>
      </c>
      <c r="K146" s="31">
        <v>3.5230999999999998E-2</v>
      </c>
      <c r="L146" s="31">
        <v>1.781E-3</v>
      </c>
      <c r="M146" s="31">
        <v>4.7612000000000002E-2</v>
      </c>
      <c r="N146" s="37"/>
    </row>
    <row r="147" spans="2:14" x14ac:dyDescent="0.2">
      <c r="B147" s="36"/>
      <c r="C147" s="31">
        <v>6</v>
      </c>
      <c r="D147" s="31">
        <v>20</v>
      </c>
      <c r="E147" s="31">
        <v>8</v>
      </c>
      <c r="F147" s="31" t="s">
        <v>94</v>
      </c>
      <c r="G147" s="31">
        <v>77.719819999999999</v>
      </c>
      <c r="H147" s="31">
        <v>0.36782999999999999</v>
      </c>
      <c r="I147" s="31">
        <v>8.3162369999999992</v>
      </c>
      <c r="J147" s="31">
        <v>3.2499999999999998E-6</v>
      </c>
      <c r="K147" s="31">
        <v>6.6142000000000006E-2</v>
      </c>
      <c r="L147" s="31">
        <v>3.6099999999999999E-4</v>
      </c>
      <c r="M147" s="31">
        <v>3.6443000000000003E-2</v>
      </c>
      <c r="N147" s="37"/>
    </row>
    <row r="148" spans="2:14" x14ac:dyDescent="0.2">
      <c r="B148" s="36"/>
      <c r="C148" s="31">
        <v>6</v>
      </c>
      <c r="D148" s="31">
        <v>20</v>
      </c>
      <c r="E148" s="31">
        <v>9</v>
      </c>
      <c r="F148" s="31" t="s">
        <v>95</v>
      </c>
      <c r="G148" s="31">
        <v>118.4576</v>
      </c>
      <c r="H148" s="31">
        <v>0.55799500000000002</v>
      </c>
      <c r="I148" s="31">
        <v>6.2464919999999999</v>
      </c>
      <c r="J148" s="31">
        <v>-1.2E-5</v>
      </c>
      <c r="K148" s="31">
        <v>5.6932000000000003E-2</v>
      </c>
      <c r="L148" s="31">
        <v>8.2799999999999996E-4</v>
      </c>
      <c r="M148" s="31">
        <v>2.1451999999999999E-2</v>
      </c>
      <c r="N148" s="37"/>
    </row>
    <row r="149" spans="2:14" x14ac:dyDescent="0.2">
      <c r="B149" s="36"/>
      <c r="C149" s="31">
        <v>6</v>
      </c>
      <c r="D149" s="31">
        <v>20</v>
      </c>
      <c r="E149" s="31">
        <v>10</v>
      </c>
      <c r="F149" s="31" t="s">
        <v>96</v>
      </c>
      <c r="G149" s="31">
        <v>101.9191</v>
      </c>
      <c r="H149" s="31">
        <v>0.33451500000000001</v>
      </c>
      <c r="I149" s="31">
        <v>8.3840859999999999</v>
      </c>
      <c r="J149" s="31">
        <v>4.4599999999999996E-6</v>
      </c>
      <c r="K149" s="31">
        <v>8.0324000000000007E-2</v>
      </c>
      <c r="L149" s="31">
        <v>-6.4999999999999994E-5</v>
      </c>
      <c r="M149" s="31">
        <v>2.9108999999999999E-2</v>
      </c>
      <c r="N149" s="37"/>
    </row>
    <row r="150" spans="2:14" x14ac:dyDescent="0.2">
      <c r="B150" s="36"/>
      <c r="C150" s="31">
        <v>6</v>
      </c>
      <c r="D150" s="31">
        <v>20</v>
      </c>
      <c r="E150" s="31">
        <v>11</v>
      </c>
      <c r="F150" s="31" t="s">
        <v>97</v>
      </c>
      <c r="G150" s="31">
        <v>113.2533</v>
      </c>
      <c r="H150" s="31">
        <v>0.33725699999999997</v>
      </c>
      <c r="I150" s="31">
        <v>7.8044950000000002</v>
      </c>
      <c r="J150" s="31">
        <v>6.7399999999999998E-6</v>
      </c>
      <c r="K150" s="31">
        <v>7.7855999999999995E-2</v>
      </c>
      <c r="L150" s="31">
        <v>-5.1000000000000003E-6</v>
      </c>
      <c r="M150" s="31">
        <v>2.5066999999999999E-2</v>
      </c>
      <c r="N150" s="37"/>
    </row>
    <row r="151" spans="2:14" x14ac:dyDescent="0.2">
      <c r="B151" s="36"/>
      <c r="C151" s="31">
        <v>6</v>
      </c>
      <c r="D151" s="31">
        <v>20</v>
      </c>
      <c r="E151" s="31">
        <v>12</v>
      </c>
      <c r="F151" s="31" t="s">
        <v>98</v>
      </c>
      <c r="G151" s="31">
        <v>124.4025</v>
      </c>
      <c r="H151" s="31">
        <v>0.332789</v>
      </c>
      <c r="I151" s="31">
        <v>7.3252550000000003</v>
      </c>
      <c r="J151" s="31">
        <v>5.5400000000000003E-6</v>
      </c>
      <c r="K151" s="31">
        <v>7.7725000000000002E-2</v>
      </c>
      <c r="L151" s="31">
        <v>-3.8999999999999999E-5</v>
      </c>
      <c r="M151" s="31">
        <v>2.2928E-2</v>
      </c>
      <c r="N151" s="37"/>
    </row>
    <row r="152" spans="2:14" x14ac:dyDescent="0.2">
      <c r="B152" s="36"/>
      <c r="C152" s="31">
        <v>6</v>
      </c>
      <c r="D152" s="31">
        <v>20</v>
      </c>
      <c r="E152" s="31">
        <v>13</v>
      </c>
      <c r="F152" s="31" t="s">
        <v>99</v>
      </c>
      <c r="G152" s="31">
        <v>138.22919999999999</v>
      </c>
      <c r="H152" s="31">
        <v>0.31611</v>
      </c>
      <c r="I152" s="31">
        <v>6.5046970000000002</v>
      </c>
      <c r="J152" s="31">
        <v>6.9700000000000002E-6</v>
      </c>
      <c r="K152" s="31">
        <v>7.0620000000000002E-2</v>
      </c>
      <c r="L152" s="31">
        <v>-2.7E-4</v>
      </c>
      <c r="M152" s="31">
        <v>2.0369999999999999E-2</v>
      </c>
      <c r="N152" s="37"/>
    </row>
    <row r="153" spans="2:14" x14ac:dyDescent="0.2">
      <c r="B153" s="36"/>
      <c r="C153" s="31">
        <v>6</v>
      </c>
      <c r="D153" s="31">
        <v>20</v>
      </c>
      <c r="E153" s="31">
        <v>14</v>
      </c>
      <c r="F153" s="31" t="s">
        <v>100</v>
      </c>
      <c r="G153" s="31">
        <v>155.03129999999999</v>
      </c>
      <c r="H153" s="31">
        <v>0.30483399999999999</v>
      </c>
      <c r="I153" s="31">
        <v>6.5455059999999996</v>
      </c>
      <c r="J153" s="31">
        <v>3.0800000000000002E-6</v>
      </c>
      <c r="K153" s="31">
        <v>7.6877000000000001E-2</v>
      </c>
      <c r="L153" s="31">
        <v>-1.6000000000000001E-4</v>
      </c>
      <c r="M153" s="31">
        <v>1.8098E-2</v>
      </c>
      <c r="N153" s="37"/>
    </row>
    <row r="154" spans="2:14" x14ac:dyDescent="0.2">
      <c r="B154" s="36"/>
      <c r="C154" s="31">
        <v>6</v>
      </c>
      <c r="D154" s="31">
        <v>20</v>
      </c>
      <c r="E154" s="31">
        <v>15</v>
      </c>
      <c r="F154" s="31" t="s">
        <v>101</v>
      </c>
      <c r="G154" s="31">
        <v>152.52799999999999</v>
      </c>
      <c r="H154" s="31">
        <v>0.30368499999999998</v>
      </c>
      <c r="I154" s="31">
        <v>6.5488080000000002</v>
      </c>
      <c r="J154" s="31">
        <v>5.9800000000000003E-6</v>
      </c>
      <c r="K154" s="31">
        <v>7.4454000000000006E-2</v>
      </c>
      <c r="L154" s="31">
        <v>-1.8000000000000001E-4</v>
      </c>
      <c r="M154" s="31">
        <v>1.8710000000000001E-2</v>
      </c>
      <c r="N154" s="37"/>
    </row>
    <row r="155" spans="2:14" x14ac:dyDescent="0.2">
      <c r="B155" s="36"/>
      <c r="C155" s="31">
        <v>6</v>
      </c>
      <c r="D155" s="31">
        <v>20</v>
      </c>
      <c r="E155" s="31">
        <v>16</v>
      </c>
      <c r="F155" s="31" t="s">
        <v>102</v>
      </c>
      <c r="G155" s="31">
        <v>201.50839999999999</v>
      </c>
      <c r="H155" s="31">
        <v>0.29215600000000003</v>
      </c>
      <c r="I155" s="31">
        <v>6.046875</v>
      </c>
      <c r="J155" s="31">
        <v>-1.1000000000000001E-6</v>
      </c>
      <c r="K155" s="31">
        <v>7.5173000000000004E-2</v>
      </c>
      <c r="L155" s="31">
        <v>-2.0000000000000001E-4</v>
      </c>
      <c r="M155" s="31">
        <v>1.3816999999999999E-2</v>
      </c>
      <c r="N155" s="37"/>
    </row>
    <row r="156" spans="2:14" x14ac:dyDescent="0.2">
      <c r="B156" s="36"/>
      <c r="C156" s="31">
        <v>6</v>
      </c>
      <c r="D156" s="31">
        <v>20</v>
      </c>
      <c r="E156" s="31">
        <v>17</v>
      </c>
      <c r="F156" s="31" t="s">
        <v>103</v>
      </c>
      <c r="G156" s="31">
        <v>232.77199999999999</v>
      </c>
      <c r="H156" s="31">
        <v>0.323409</v>
      </c>
      <c r="I156" s="31">
        <v>6.1762259999999998</v>
      </c>
      <c r="J156" s="31">
        <v>-5.3000000000000001E-6</v>
      </c>
      <c r="K156" s="31">
        <v>7.6170000000000002E-2</v>
      </c>
      <c r="L156" s="31">
        <v>-3.3000000000000002E-6</v>
      </c>
      <c r="M156" s="31">
        <v>1.175E-2</v>
      </c>
      <c r="N156" s="37"/>
    </row>
    <row r="157" spans="2:14" x14ac:dyDescent="0.2">
      <c r="B157" s="36"/>
      <c r="C157" s="31">
        <v>6</v>
      </c>
      <c r="D157" s="31">
        <v>20</v>
      </c>
      <c r="E157" s="31">
        <v>18</v>
      </c>
      <c r="F157" s="31" t="s">
        <v>104</v>
      </c>
      <c r="G157" s="31">
        <v>240.12960000000001</v>
      </c>
      <c r="H157" s="31">
        <v>0.23550199999999999</v>
      </c>
      <c r="I157" s="31">
        <v>6.1461860000000001</v>
      </c>
      <c r="J157" s="31">
        <v>9.9599999999999995E-6</v>
      </c>
      <c r="K157" s="31">
        <v>7.2352E-2</v>
      </c>
      <c r="L157" s="31">
        <v>-2.9E-4</v>
      </c>
      <c r="M157" s="31">
        <v>1.1499000000000001E-2</v>
      </c>
      <c r="N157" s="37"/>
    </row>
    <row r="158" spans="2:14" x14ac:dyDescent="0.2">
      <c r="B158" s="36"/>
      <c r="C158" s="31">
        <v>6</v>
      </c>
      <c r="D158" s="31">
        <v>20</v>
      </c>
      <c r="E158" s="31">
        <v>19</v>
      </c>
      <c r="F158" s="31" t="s">
        <v>105</v>
      </c>
      <c r="G158" s="31">
        <v>274.99250000000001</v>
      </c>
      <c r="H158" s="31">
        <v>0.20861299999999999</v>
      </c>
      <c r="I158" s="31">
        <v>6.3377929999999996</v>
      </c>
      <c r="J158" s="31">
        <v>1.9899999999999999E-5</v>
      </c>
      <c r="K158" s="31">
        <v>7.1945999999999996E-2</v>
      </c>
      <c r="L158" s="31">
        <v>-2.7999999999999998E-4</v>
      </c>
      <c r="M158" s="31">
        <v>1.0137E-2</v>
      </c>
      <c r="N158" s="37"/>
    </row>
    <row r="159" spans="2:14" x14ac:dyDescent="0.2">
      <c r="B159" s="36"/>
      <c r="C159" s="31">
        <v>6</v>
      </c>
      <c r="D159" s="31">
        <v>20</v>
      </c>
      <c r="E159" s="31">
        <v>20</v>
      </c>
      <c r="F159" s="31" t="s">
        <v>106</v>
      </c>
      <c r="G159" s="31">
        <v>284.94639999999998</v>
      </c>
      <c r="H159" s="31">
        <v>0.19235099999999999</v>
      </c>
      <c r="I159" s="31">
        <v>6.0998530000000004</v>
      </c>
      <c r="J159" s="31">
        <v>2.3200000000000001E-5</v>
      </c>
      <c r="K159" s="31">
        <v>7.0245000000000002E-2</v>
      </c>
      <c r="L159" s="31">
        <v>-3.3E-4</v>
      </c>
      <c r="M159" s="31">
        <v>9.8619999999999992E-3</v>
      </c>
      <c r="N159" s="37"/>
    </row>
    <row r="160" spans="2:14" x14ac:dyDescent="0.2">
      <c r="B160" s="36"/>
      <c r="C160" s="38"/>
      <c r="D160" s="38"/>
      <c r="E160" s="38"/>
      <c r="F160" s="38"/>
      <c r="G160" s="38"/>
      <c r="H160" s="38"/>
      <c r="I160" s="38"/>
      <c r="J160" s="38"/>
      <c r="K160" s="38"/>
      <c r="L160" s="38"/>
      <c r="M160" s="38"/>
      <c r="N160" s="37"/>
    </row>
    <row r="161" spans="2:14" x14ac:dyDescent="0.2">
      <c r="B161" s="36"/>
      <c r="C161" s="30" t="s">
        <v>119</v>
      </c>
      <c r="D161" s="30" t="s">
        <v>120</v>
      </c>
      <c r="E161" s="30"/>
      <c r="F161" s="30" t="s">
        <v>107</v>
      </c>
      <c r="G161" s="30" t="s">
        <v>115</v>
      </c>
      <c r="H161" s="30" t="s">
        <v>6</v>
      </c>
      <c r="I161" s="30" t="s">
        <v>7</v>
      </c>
      <c r="J161" s="30" t="s">
        <v>8</v>
      </c>
      <c r="K161" s="30" t="s">
        <v>9</v>
      </c>
      <c r="L161" s="30" t="s">
        <v>10</v>
      </c>
      <c r="M161" s="30" t="s">
        <v>11</v>
      </c>
      <c r="N161" s="37"/>
    </row>
    <row r="162" spans="2:14" x14ac:dyDescent="0.2">
      <c r="B162" s="36"/>
      <c r="C162" s="31">
        <v>6</v>
      </c>
      <c r="D162" s="31">
        <v>120</v>
      </c>
      <c r="E162" s="31">
        <v>1</v>
      </c>
      <c r="F162" s="31" t="s">
        <v>87</v>
      </c>
      <c r="G162" s="31">
        <v>22.00601</v>
      </c>
      <c r="H162" s="31">
        <v>0.66630500000000004</v>
      </c>
      <c r="I162" s="31">
        <v>8.5413530000000009</v>
      </c>
      <c r="J162" s="31">
        <v>1.56E-5</v>
      </c>
      <c r="K162" s="31">
        <v>2.9558999999999998E-2</v>
      </c>
      <c r="L162" s="31">
        <v>7.0500000000000001E-4</v>
      </c>
      <c r="M162" s="31">
        <v>8.3996000000000001E-2</v>
      </c>
      <c r="N162" s="37"/>
    </row>
    <row r="163" spans="2:14" x14ac:dyDescent="0.2">
      <c r="B163" s="36"/>
      <c r="C163" s="31">
        <v>6</v>
      </c>
      <c r="D163" s="31">
        <v>120</v>
      </c>
      <c r="E163" s="31">
        <v>2</v>
      </c>
      <c r="F163" s="31" t="s">
        <v>88</v>
      </c>
      <c r="G163" s="31">
        <v>29.10209</v>
      </c>
      <c r="H163" s="31">
        <v>0.67133600000000004</v>
      </c>
      <c r="I163" s="31">
        <v>9.8482640000000004</v>
      </c>
      <c r="J163" s="31">
        <v>1.11E-5</v>
      </c>
      <c r="K163" s="31">
        <v>2.7616000000000002E-2</v>
      </c>
      <c r="L163" s="31">
        <v>8.1700000000000002E-4</v>
      </c>
      <c r="M163" s="31">
        <v>6.8691000000000002E-2</v>
      </c>
      <c r="N163" s="37"/>
    </row>
    <row r="164" spans="2:14" x14ac:dyDescent="0.2">
      <c r="B164" s="36"/>
      <c r="C164" s="31">
        <v>6</v>
      </c>
      <c r="D164" s="31">
        <v>120</v>
      </c>
      <c r="E164" s="31">
        <v>3</v>
      </c>
      <c r="F164" s="31" t="s">
        <v>89</v>
      </c>
      <c r="G164" s="31">
        <v>37.96987</v>
      </c>
      <c r="H164" s="31">
        <v>0.70130300000000001</v>
      </c>
      <c r="I164" s="31">
        <v>10.258330000000001</v>
      </c>
      <c r="J164" s="31">
        <v>8.2900000000000002E-6</v>
      </c>
      <c r="K164" s="31">
        <v>2.4517000000000001E-2</v>
      </c>
      <c r="L164" s="31">
        <v>9.0799999999999995E-4</v>
      </c>
      <c r="M164" s="31">
        <v>4.786E-2</v>
      </c>
      <c r="N164" s="37"/>
    </row>
    <row r="165" spans="2:14" x14ac:dyDescent="0.2">
      <c r="B165" s="36"/>
      <c r="C165" s="31">
        <v>6</v>
      </c>
      <c r="D165" s="31">
        <v>120</v>
      </c>
      <c r="E165" s="31">
        <v>4</v>
      </c>
      <c r="F165" s="31" t="s">
        <v>90</v>
      </c>
      <c r="G165" s="31">
        <v>33.306840000000001</v>
      </c>
      <c r="H165" s="31">
        <v>0.66335200000000005</v>
      </c>
      <c r="I165" s="31">
        <v>6.9095069999999996</v>
      </c>
      <c r="J165" s="31">
        <v>2.5799999999999999E-6</v>
      </c>
      <c r="K165" s="31">
        <v>3.8483000000000003E-2</v>
      </c>
      <c r="L165" s="31">
        <v>2.3609999999999998E-3</v>
      </c>
      <c r="M165" s="31">
        <v>9.1965000000000005E-2</v>
      </c>
      <c r="N165" s="37"/>
    </row>
    <row r="166" spans="2:14" x14ac:dyDescent="0.2">
      <c r="B166" s="36"/>
      <c r="C166" s="31">
        <v>6</v>
      </c>
      <c r="D166" s="31">
        <v>120</v>
      </c>
      <c r="E166" s="31">
        <v>5</v>
      </c>
      <c r="F166" s="31" t="s">
        <v>91</v>
      </c>
      <c r="G166" s="31">
        <v>36.55789</v>
      </c>
      <c r="H166" s="31">
        <v>0.667906</v>
      </c>
      <c r="I166" s="31">
        <v>6.9267000000000003</v>
      </c>
      <c r="J166" s="31">
        <v>9.3500000000000003E-6</v>
      </c>
      <c r="K166" s="31">
        <v>3.3399999999999999E-2</v>
      </c>
      <c r="L166" s="31">
        <v>2.0010000000000002E-3</v>
      </c>
      <c r="M166" s="31">
        <v>5.2086E-2</v>
      </c>
      <c r="N166" s="37"/>
    </row>
    <row r="167" spans="2:14" x14ac:dyDescent="0.2">
      <c r="B167" s="36"/>
      <c r="C167" s="31">
        <v>6</v>
      </c>
      <c r="D167" s="31">
        <v>120</v>
      </c>
      <c r="E167" s="31">
        <v>6</v>
      </c>
      <c r="F167" s="31" t="s">
        <v>92</v>
      </c>
      <c r="G167" s="31">
        <v>46.514600000000002</v>
      </c>
      <c r="H167" s="31">
        <v>0.65902400000000005</v>
      </c>
      <c r="I167" s="31">
        <v>5.3681900000000002</v>
      </c>
      <c r="J167" s="31">
        <v>1.04E-5</v>
      </c>
      <c r="K167" s="31">
        <v>4.0041E-2</v>
      </c>
      <c r="L167" s="31">
        <v>1.867E-3</v>
      </c>
      <c r="M167" s="31">
        <v>6.2844999999999998E-2</v>
      </c>
      <c r="N167" s="37"/>
    </row>
    <row r="168" spans="2:14" x14ac:dyDescent="0.2">
      <c r="B168" s="36"/>
      <c r="C168" s="31">
        <v>6</v>
      </c>
      <c r="D168" s="31">
        <v>120</v>
      </c>
      <c r="E168" s="31">
        <v>7</v>
      </c>
      <c r="F168" s="31" t="s">
        <v>93</v>
      </c>
      <c r="G168" s="31">
        <v>53.503909999999998</v>
      </c>
      <c r="H168" s="31">
        <v>0.58265500000000003</v>
      </c>
      <c r="I168" s="31">
        <v>8.0076800000000006</v>
      </c>
      <c r="J168" s="31">
        <v>9.8200000000000008E-6</v>
      </c>
      <c r="K168" s="31">
        <v>3.5174999999999998E-2</v>
      </c>
      <c r="L168" s="31">
        <v>1.7589999999999999E-3</v>
      </c>
      <c r="M168" s="31">
        <v>4.7655999999999997E-2</v>
      </c>
      <c r="N168" s="37"/>
    </row>
    <row r="169" spans="2:14" x14ac:dyDescent="0.2">
      <c r="B169" s="36"/>
      <c r="C169" s="31">
        <v>6</v>
      </c>
      <c r="D169" s="31">
        <v>120</v>
      </c>
      <c r="E169" s="31">
        <v>8</v>
      </c>
      <c r="F169" s="31" t="s">
        <v>94</v>
      </c>
      <c r="G169" s="31">
        <v>78.210840000000005</v>
      </c>
      <c r="H169" s="31">
        <v>0.36339900000000003</v>
      </c>
      <c r="I169" s="31">
        <v>8.2744250000000008</v>
      </c>
      <c r="J169" s="31">
        <v>4.3599999999999998E-6</v>
      </c>
      <c r="K169" s="31">
        <v>6.5314999999999998E-2</v>
      </c>
      <c r="L169" s="31">
        <v>3.7599999999999998E-4</v>
      </c>
      <c r="M169" s="31">
        <v>3.6344000000000001E-2</v>
      </c>
      <c r="N169" s="37"/>
    </row>
    <row r="170" spans="2:14" x14ac:dyDescent="0.2">
      <c r="B170" s="36"/>
      <c r="C170" s="31">
        <v>6</v>
      </c>
      <c r="D170" s="31">
        <v>120</v>
      </c>
      <c r="E170" s="31">
        <v>9</v>
      </c>
      <c r="F170" s="31" t="s">
        <v>95</v>
      </c>
      <c r="G170" s="31">
        <v>119.08110000000001</v>
      </c>
      <c r="H170" s="31">
        <v>0.55351300000000003</v>
      </c>
      <c r="I170" s="31">
        <v>6.223668</v>
      </c>
      <c r="J170" s="31">
        <v>-1.2E-5</v>
      </c>
      <c r="K170" s="31">
        <v>5.6618000000000002E-2</v>
      </c>
      <c r="L170" s="31">
        <v>8.2399999999999997E-4</v>
      </c>
      <c r="M170" s="31">
        <v>2.1396999999999999E-2</v>
      </c>
      <c r="N170" s="37"/>
    </row>
    <row r="171" spans="2:14" x14ac:dyDescent="0.2">
      <c r="B171" s="36"/>
      <c r="C171" s="31">
        <v>6</v>
      </c>
      <c r="D171" s="31">
        <v>120</v>
      </c>
      <c r="E171" s="31">
        <v>10</v>
      </c>
      <c r="F171" s="31" t="s">
        <v>96</v>
      </c>
      <c r="G171" s="31">
        <v>103.6091</v>
      </c>
      <c r="H171" s="31">
        <v>0.33922200000000002</v>
      </c>
      <c r="I171" s="31">
        <v>7.9374840000000004</v>
      </c>
      <c r="J171" s="31">
        <v>5.84E-6</v>
      </c>
      <c r="K171" s="31">
        <v>7.6855999999999994E-2</v>
      </c>
      <c r="L171" s="31">
        <v>4.32E-5</v>
      </c>
      <c r="M171" s="31">
        <v>2.8979000000000001E-2</v>
      </c>
      <c r="N171" s="37"/>
    </row>
    <row r="172" spans="2:14" x14ac:dyDescent="0.2">
      <c r="B172" s="36"/>
      <c r="C172" s="31">
        <v>6</v>
      </c>
      <c r="D172" s="31">
        <v>120</v>
      </c>
      <c r="E172" s="31">
        <v>11</v>
      </c>
      <c r="F172" s="31" t="s">
        <v>97</v>
      </c>
      <c r="G172" s="31">
        <v>115.3691</v>
      </c>
      <c r="H172" s="31">
        <v>0.33210299999999998</v>
      </c>
      <c r="I172" s="31">
        <v>7.5609669999999998</v>
      </c>
      <c r="J172" s="31">
        <v>9.7699999999999996E-6</v>
      </c>
      <c r="K172" s="31">
        <v>7.4311000000000002E-2</v>
      </c>
      <c r="L172" s="31">
        <v>1.07E-4</v>
      </c>
      <c r="M172" s="31">
        <v>2.4853E-2</v>
      </c>
      <c r="N172" s="37"/>
    </row>
    <row r="173" spans="2:14" x14ac:dyDescent="0.2">
      <c r="B173" s="36"/>
      <c r="C173" s="31">
        <v>6</v>
      </c>
      <c r="D173" s="31">
        <v>120</v>
      </c>
      <c r="E173" s="31">
        <v>12</v>
      </c>
      <c r="F173" s="31" t="s">
        <v>98</v>
      </c>
      <c r="G173" s="31">
        <v>126.8047</v>
      </c>
      <c r="H173" s="31">
        <v>0.32450800000000002</v>
      </c>
      <c r="I173" s="31">
        <v>7.1482640000000002</v>
      </c>
      <c r="J173" s="31">
        <v>8.9299999999999992E-6</v>
      </c>
      <c r="K173" s="31">
        <v>7.4217000000000005E-2</v>
      </c>
      <c r="L173" s="31">
        <v>7.2100000000000004E-5</v>
      </c>
      <c r="M173" s="31">
        <v>2.2713000000000001E-2</v>
      </c>
      <c r="N173" s="37"/>
    </row>
    <row r="174" spans="2:14" x14ac:dyDescent="0.2">
      <c r="B174" s="36"/>
      <c r="C174" s="31">
        <v>6</v>
      </c>
      <c r="D174" s="31">
        <v>120</v>
      </c>
      <c r="E174" s="31">
        <v>13</v>
      </c>
      <c r="F174" s="31" t="s">
        <v>99</v>
      </c>
      <c r="G174" s="31">
        <v>140.6703</v>
      </c>
      <c r="H174" s="31">
        <v>0.31498700000000002</v>
      </c>
      <c r="I174" s="31">
        <v>6.2186849999999998</v>
      </c>
      <c r="J174" s="31">
        <v>9.2299999999999997E-6</v>
      </c>
      <c r="K174" s="31">
        <v>6.7610000000000003E-2</v>
      </c>
      <c r="L174" s="31">
        <v>-1.7000000000000001E-4</v>
      </c>
      <c r="M174" s="31">
        <v>2.0168999999999999E-2</v>
      </c>
      <c r="N174" s="37"/>
    </row>
    <row r="175" spans="2:14" x14ac:dyDescent="0.2">
      <c r="B175" s="36"/>
      <c r="C175" s="31">
        <v>6</v>
      </c>
      <c r="D175" s="31">
        <v>120</v>
      </c>
      <c r="E175" s="31">
        <v>14</v>
      </c>
      <c r="F175" s="31" t="s">
        <v>100</v>
      </c>
      <c r="G175" s="31">
        <v>157.88069999999999</v>
      </c>
      <c r="H175" s="31">
        <v>0.30391099999999999</v>
      </c>
      <c r="I175" s="31">
        <v>6.2505009999999999</v>
      </c>
      <c r="J175" s="31">
        <v>4.9100000000000004E-6</v>
      </c>
      <c r="K175" s="31">
        <v>7.3913999999999994E-2</v>
      </c>
      <c r="L175" s="31">
        <v>-8.0000000000000007E-5</v>
      </c>
      <c r="M175" s="31">
        <v>1.7902999999999999E-2</v>
      </c>
      <c r="N175" s="37"/>
    </row>
    <row r="176" spans="2:14" x14ac:dyDescent="0.2">
      <c r="B176" s="36"/>
      <c r="C176" s="31">
        <v>6</v>
      </c>
      <c r="D176" s="31">
        <v>120</v>
      </c>
      <c r="E176" s="31">
        <v>15</v>
      </c>
      <c r="F176" s="31" t="s">
        <v>101</v>
      </c>
      <c r="G176" s="31">
        <v>155.36840000000001</v>
      </c>
      <c r="H176" s="31">
        <v>0.30191499999999999</v>
      </c>
      <c r="I176" s="31">
        <v>6.2715909999999999</v>
      </c>
      <c r="J176" s="31">
        <v>8.2700000000000004E-6</v>
      </c>
      <c r="K176" s="31">
        <v>7.1335999999999997E-2</v>
      </c>
      <c r="L176" s="31">
        <v>-8.3999999999999995E-5</v>
      </c>
      <c r="M176" s="31">
        <v>1.8502000000000001E-2</v>
      </c>
      <c r="N176" s="37"/>
    </row>
    <row r="177" spans="2:14" x14ac:dyDescent="0.2">
      <c r="B177" s="36"/>
      <c r="C177" s="31">
        <v>6</v>
      </c>
      <c r="D177" s="31">
        <v>120</v>
      </c>
      <c r="E177" s="31">
        <v>16</v>
      </c>
      <c r="F177" s="31" t="s">
        <v>102</v>
      </c>
      <c r="G177" s="31">
        <v>205.2756</v>
      </c>
      <c r="H177" s="31">
        <v>0.293294</v>
      </c>
      <c r="I177" s="31">
        <v>5.7086069999999998</v>
      </c>
      <c r="J177" s="31">
        <v>-7.3000000000000005E-8</v>
      </c>
      <c r="K177" s="31">
        <v>7.2553999999999993E-2</v>
      </c>
      <c r="L177" s="31">
        <v>-1.2999999999999999E-4</v>
      </c>
      <c r="M177" s="31">
        <v>1.3669000000000001E-2</v>
      </c>
      <c r="N177" s="37"/>
    </row>
    <row r="178" spans="2:14" x14ac:dyDescent="0.2">
      <c r="B178" s="36"/>
      <c r="C178" s="31">
        <v>6</v>
      </c>
      <c r="D178" s="31">
        <v>120</v>
      </c>
      <c r="E178" s="31">
        <v>17</v>
      </c>
      <c r="F178" s="31" t="s">
        <v>103</v>
      </c>
      <c r="G178" s="31">
        <v>237.1165</v>
      </c>
      <c r="H178" s="31">
        <v>0.32491100000000001</v>
      </c>
      <c r="I178" s="31">
        <v>5.8212739999999998</v>
      </c>
      <c r="J178" s="31">
        <v>-5.0000000000000004E-6</v>
      </c>
      <c r="K178" s="31">
        <v>7.3702000000000004E-2</v>
      </c>
      <c r="L178" s="31">
        <v>5.1499999999999998E-5</v>
      </c>
      <c r="M178" s="31">
        <v>1.1629E-2</v>
      </c>
      <c r="N178" s="37"/>
    </row>
    <row r="179" spans="2:14" x14ac:dyDescent="0.2">
      <c r="B179" s="36"/>
      <c r="C179" s="31">
        <v>6</v>
      </c>
      <c r="D179" s="31">
        <v>120</v>
      </c>
      <c r="E179" s="31">
        <v>18</v>
      </c>
      <c r="F179" s="31" t="s">
        <v>104</v>
      </c>
      <c r="G179" s="31">
        <v>244.10290000000001</v>
      </c>
      <c r="H179" s="31">
        <v>0.23396900000000001</v>
      </c>
      <c r="I179" s="31">
        <v>5.8739420000000004</v>
      </c>
      <c r="J179" s="31">
        <v>1.2500000000000001E-5</v>
      </c>
      <c r="K179" s="31">
        <v>7.0055999999999993E-2</v>
      </c>
      <c r="L179" s="31">
        <v>-2.2000000000000001E-4</v>
      </c>
      <c r="M179" s="31">
        <v>1.141E-2</v>
      </c>
      <c r="N179" s="37"/>
    </row>
    <row r="180" spans="2:14" x14ac:dyDescent="0.2">
      <c r="B180" s="36"/>
      <c r="C180" s="31">
        <v>6</v>
      </c>
      <c r="D180" s="31">
        <v>120</v>
      </c>
      <c r="E180" s="31">
        <v>19</v>
      </c>
      <c r="F180" s="31" t="s">
        <v>105</v>
      </c>
      <c r="G180" s="31">
        <v>279.38679999999999</v>
      </c>
      <c r="H180" s="31">
        <v>0.20610300000000001</v>
      </c>
      <c r="I180" s="31">
        <v>6.07951</v>
      </c>
      <c r="J180" s="31">
        <v>2.3499999999999999E-5</v>
      </c>
      <c r="K180" s="31">
        <v>6.9718000000000002E-2</v>
      </c>
      <c r="L180" s="31">
        <v>-2.1000000000000001E-4</v>
      </c>
      <c r="M180" s="31">
        <v>1.0071999999999999E-2</v>
      </c>
      <c r="N180" s="37"/>
    </row>
    <row r="181" spans="2:14" x14ac:dyDescent="0.2">
      <c r="B181" s="36"/>
      <c r="C181" s="31">
        <v>6</v>
      </c>
      <c r="D181" s="31">
        <v>120</v>
      </c>
      <c r="E181" s="31">
        <v>20</v>
      </c>
      <c r="F181" s="31" t="s">
        <v>106</v>
      </c>
      <c r="G181" s="31">
        <v>289.29790000000003</v>
      </c>
      <c r="H181" s="31">
        <v>0.189086</v>
      </c>
      <c r="I181" s="31">
        <v>5.8654609999999998</v>
      </c>
      <c r="J181" s="31">
        <v>2.7399999999999999E-5</v>
      </c>
      <c r="K181" s="31">
        <v>6.8115999999999996E-2</v>
      </c>
      <c r="L181" s="31">
        <v>-2.5999999999999998E-4</v>
      </c>
      <c r="M181" s="31">
        <v>9.8049999999999995E-3</v>
      </c>
      <c r="N181" s="37"/>
    </row>
    <row r="182" spans="2:14" x14ac:dyDescent="0.2">
      <c r="B182" s="36"/>
      <c r="C182" s="38"/>
      <c r="D182" s="38"/>
      <c r="E182" s="38"/>
      <c r="F182" s="38"/>
      <c r="G182" s="38"/>
      <c r="H182" s="38"/>
      <c r="I182" s="38"/>
      <c r="J182" s="38"/>
      <c r="K182" s="38"/>
      <c r="L182" s="38"/>
      <c r="M182" s="38"/>
      <c r="N182" s="37"/>
    </row>
    <row r="183" spans="2:14" x14ac:dyDescent="0.2">
      <c r="B183" s="36"/>
      <c r="C183" s="30" t="s">
        <v>119</v>
      </c>
      <c r="D183" s="30" t="s">
        <v>120</v>
      </c>
      <c r="E183" s="30"/>
      <c r="F183" s="30" t="s">
        <v>107</v>
      </c>
      <c r="G183" s="30" t="s">
        <v>115</v>
      </c>
      <c r="H183" s="30" t="s">
        <v>6</v>
      </c>
      <c r="I183" s="30" t="s">
        <v>7</v>
      </c>
      <c r="J183" s="30" t="s">
        <v>8</v>
      </c>
      <c r="K183" s="30" t="s">
        <v>9</v>
      </c>
      <c r="L183" s="30" t="s">
        <v>10</v>
      </c>
      <c r="M183" s="30" t="s">
        <v>11</v>
      </c>
      <c r="N183" s="37"/>
    </row>
    <row r="184" spans="2:14" x14ac:dyDescent="0.2">
      <c r="B184" s="36"/>
      <c r="C184" s="31">
        <v>6</v>
      </c>
      <c r="D184" s="31">
        <v>300</v>
      </c>
      <c r="E184" s="31">
        <v>1</v>
      </c>
      <c r="F184" s="31" t="s">
        <v>87</v>
      </c>
      <c r="G184" s="31">
        <v>22.062280000000001</v>
      </c>
      <c r="H184" s="31">
        <v>0.66124099999999997</v>
      </c>
      <c r="I184" s="31">
        <v>8.2685510000000004</v>
      </c>
      <c r="J184" s="31">
        <v>1.5E-5</v>
      </c>
      <c r="K184" s="31">
        <v>3.0286E-2</v>
      </c>
      <c r="L184" s="31">
        <v>6.3599999999999996E-4</v>
      </c>
      <c r="M184" s="31">
        <v>9.4462000000000004E-2</v>
      </c>
      <c r="N184" s="37"/>
    </row>
    <row r="185" spans="2:14" x14ac:dyDescent="0.2">
      <c r="B185" s="36"/>
      <c r="C185" s="31">
        <v>6</v>
      </c>
      <c r="D185" s="31">
        <v>300</v>
      </c>
      <c r="E185" s="31">
        <v>2</v>
      </c>
      <c r="F185" s="31" t="s">
        <v>88</v>
      </c>
      <c r="G185" s="31">
        <v>29.230149999999998</v>
      </c>
      <c r="H185" s="31">
        <v>0.66643200000000002</v>
      </c>
      <c r="I185" s="31">
        <v>9.5143749999999994</v>
      </c>
      <c r="J185" s="31">
        <v>1.03E-5</v>
      </c>
      <c r="K185" s="31">
        <v>2.8396000000000001E-2</v>
      </c>
      <c r="L185" s="31">
        <v>7.3800000000000005E-4</v>
      </c>
      <c r="M185" s="31">
        <v>7.7433000000000002E-2</v>
      </c>
      <c r="N185" s="37"/>
    </row>
    <row r="186" spans="2:14" x14ac:dyDescent="0.2">
      <c r="B186" s="36"/>
      <c r="C186" s="31">
        <v>6</v>
      </c>
      <c r="D186" s="31">
        <v>300</v>
      </c>
      <c r="E186" s="31">
        <v>3</v>
      </c>
      <c r="F186" s="31" t="s">
        <v>89</v>
      </c>
      <c r="G186" s="31">
        <v>38.22448</v>
      </c>
      <c r="H186" s="31">
        <v>0.69556899999999999</v>
      </c>
      <c r="I186" s="31">
        <v>9.8811169999999997</v>
      </c>
      <c r="J186" s="31">
        <v>7.4699999999999996E-6</v>
      </c>
      <c r="K186" s="31">
        <v>2.5340000000000001E-2</v>
      </c>
      <c r="L186" s="31">
        <v>8.1899999999999996E-4</v>
      </c>
      <c r="M186" s="31">
        <v>5.5123999999999999E-2</v>
      </c>
      <c r="N186" s="37"/>
    </row>
    <row r="187" spans="2:14" x14ac:dyDescent="0.2">
      <c r="B187" s="36"/>
      <c r="C187" s="31">
        <v>6</v>
      </c>
      <c r="D187" s="31">
        <v>300</v>
      </c>
      <c r="E187" s="31">
        <v>4</v>
      </c>
      <c r="F187" s="31" t="s">
        <v>90</v>
      </c>
      <c r="G187" s="31">
        <v>33.485810000000001</v>
      </c>
      <c r="H187" s="31">
        <v>0.65260700000000005</v>
      </c>
      <c r="I187" s="31">
        <v>6.7235180000000003</v>
      </c>
      <c r="J187" s="31">
        <v>2.7700000000000002E-6</v>
      </c>
      <c r="K187" s="31">
        <v>3.8602999999999998E-2</v>
      </c>
      <c r="L187" s="31">
        <v>2.3149999999999998E-3</v>
      </c>
      <c r="M187" s="31">
        <v>9.8022999999999999E-2</v>
      </c>
      <c r="N187" s="37"/>
    </row>
    <row r="188" spans="2:14" x14ac:dyDescent="0.2">
      <c r="B188" s="36"/>
      <c r="C188" s="31">
        <v>6</v>
      </c>
      <c r="D188" s="31">
        <v>300</v>
      </c>
      <c r="E188" s="31">
        <v>5</v>
      </c>
      <c r="F188" s="31" t="s">
        <v>91</v>
      </c>
      <c r="G188" s="31">
        <v>36.772179999999999</v>
      </c>
      <c r="H188" s="31">
        <v>0.653111</v>
      </c>
      <c r="I188" s="31">
        <v>6.8485940000000003</v>
      </c>
      <c r="J188" s="31">
        <v>1.13E-5</v>
      </c>
      <c r="K188" s="31">
        <v>3.4137000000000001E-2</v>
      </c>
      <c r="L188" s="31">
        <v>1.9090000000000001E-3</v>
      </c>
      <c r="M188" s="31">
        <v>5.5316999999999998E-2</v>
      </c>
      <c r="N188" s="37"/>
    </row>
    <row r="189" spans="2:14" x14ac:dyDescent="0.2">
      <c r="B189" s="36"/>
      <c r="C189" s="31">
        <v>6</v>
      </c>
      <c r="D189" s="31">
        <v>300</v>
      </c>
      <c r="E189" s="31">
        <v>6</v>
      </c>
      <c r="F189" s="31" t="s">
        <v>92</v>
      </c>
      <c r="G189" s="31">
        <v>46.584440000000001</v>
      </c>
      <c r="H189" s="31">
        <v>0.66954599999999997</v>
      </c>
      <c r="I189" s="31">
        <v>4.9859330000000002</v>
      </c>
      <c r="J189" s="31">
        <v>8.2300000000000008E-6</v>
      </c>
      <c r="K189" s="31">
        <v>4.0113999999999997E-2</v>
      </c>
      <c r="L189" s="31">
        <v>1.8320000000000001E-3</v>
      </c>
      <c r="M189" s="31">
        <v>6.4464999999999995E-2</v>
      </c>
      <c r="N189" s="37"/>
    </row>
    <row r="190" spans="2:14" x14ac:dyDescent="0.2">
      <c r="B190" s="36"/>
      <c r="C190" s="31">
        <v>6</v>
      </c>
      <c r="D190" s="31">
        <v>300</v>
      </c>
      <c r="E190" s="31">
        <v>7</v>
      </c>
      <c r="F190" s="31" t="s">
        <v>93</v>
      </c>
      <c r="G190" s="31">
        <v>53.827809999999999</v>
      </c>
      <c r="H190" s="31">
        <v>0.59789999999999999</v>
      </c>
      <c r="I190" s="31">
        <v>7.4554790000000004</v>
      </c>
      <c r="J190" s="31">
        <v>8.3299999999999999E-6</v>
      </c>
      <c r="K190" s="31">
        <v>3.5094E-2</v>
      </c>
      <c r="L190" s="31">
        <v>1.7030000000000001E-3</v>
      </c>
      <c r="M190" s="31">
        <v>4.7740999999999999E-2</v>
      </c>
      <c r="N190" s="37"/>
    </row>
    <row r="191" spans="2:14" x14ac:dyDescent="0.2">
      <c r="B191" s="36"/>
      <c r="C191" s="31">
        <v>6</v>
      </c>
      <c r="D191" s="31">
        <v>300</v>
      </c>
      <c r="E191" s="31">
        <v>8</v>
      </c>
      <c r="F191" s="31" t="s">
        <v>94</v>
      </c>
      <c r="G191" s="31">
        <v>79.985849999999999</v>
      </c>
      <c r="H191" s="31">
        <v>0.34908899999999998</v>
      </c>
      <c r="I191" s="31">
        <v>8.0942190000000007</v>
      </c>
      <c r="J191" s="31">
        <v>8.7499999999999992E-6</v>
      </c>
      <c r="K191" s="31">
        <v>6.3419000000000003E-2</v>
      </c>
      <c r="L191" s="31">
        <v>3.59E-4</v>
      </c>
      <c r="M191" s="31">
        <v>3.5841999999999999E-2</v>
      </c>
      <c r="N191" s="37"/>
    </row>
    <row r="192" spans="2:14" x14ac:dyDescent="0.2">
      <c r="B192" s="36"/>
      <c r="C192" s="31">
        <v>6</v>
      </c>
      <c r="D192" s="31">
        <v>300</v>
      </c>
      <c r="E192" s="31">
        <v>9</v>
      </c>
      <c r="F192" s="31" t="s">
        <v>95</v>
      </c>
      <c r="G192" s="31">
        <v>121.3877</v>
      </c>
      <c r="H192" s="31">
        <v>0.53997899999999999</v>
      </c>
      <c r="I192" s="31">
        <v>6.1087980000000002</v>
      </c>
      <c r="J192" s="31">
        <v>-1.0000000000000001E-5</v>
      </c>
      <c r="K192" s="31">
        <v>5.5529000000000002E-2</v>
      </c>
      <c r="L192" s="31">
        <v>8.0699999999999999E-4</v>
      </c>
      <c r="M192" s="31">
        <v>2.1104000000000001E-2</v>
      </c>
      <c r="N192" s="37"/>
    </row>
    <row r="193" spans="2:14" x14ac:dyDescent="0.2">
      <c r="B193" s="36"/>
      <c r="C193" s="31">
        <v>6</v>
      </c>
      <c r="D193" s="31">
        <v>300</v>
      </c>
      <c r="E193" s="31">
        <v>10</v>
      </c>
      <c r="F193" s="31" t="s">
        <v>96</v>
      </c>
      <c r="G193" s="31">
        <v>106.1258</v>
      </c>
      <c r="H193" s="31">
        <v>0.33636500000000003</v>
      </c>
      <c r="I193" s="31">
        <v>7.4316089999999999</v>
      </c>
      <c r="J193" s="31">
        <v>8.8200000000000003E-6</v>
      </c>
      <c r="K193" s="31">
        <v>7.4662999999999993E-2</v>
      </c>
      <c r="L193" s="31">
        <v>1.1600000000000001E-5</v>
      </c>
      <c r="M193" s="31">
        <v>2.8650999999999999E-2</v>
      </c>
      <c r="N193" s="37"/>
    </row>
    <row r="194" spans="2:14" x14ac:dyDescent="0.2">
      <c r="B194" s="36"/>
      <c r="C194" s="31">
        <v>6</v>
      </c>
      <c r="D194" s="31">
        <v>300</v>
      </c>
      <c r="E194" s="31">
        <v>11</v>
      </c>
      <c r="F194" s="31" t="s">
        <v>97</v>
      </c>
      <c r="G194" s="31">
        <v>117.86320000000001</v>
      </c>
      <c r="H194" s="31">
        <v>0.32530900000000001</v>
      </c>
      <c r="I194" s="31">
        <v>7.2396370000000001</v>
      </c>
      <c r="J194" s="31">
        <v>1.38E-5</v>
      </c>
      <c r="K194" s="31">
        <v>7.2274000000000005E-2</v>
      </c>
      <c r="L194" s="31">
        <v>8.7100000000000003E-5</v>
      </c>
      <c r="M194" s="31">
        <v>2.4535999999999999E-2</v>
      </c>
      <c r="N194" s="37"/>
    </row>
    <row r="195" spans="2:14" x14ac:dyDescent="0.2">
      <c r="B195" s="36"/>
      <c r="C195" s="31">
        <v>6</v>
      </c>
      <c r="D195" s="31">
        <v>300</v>
      </c>
      <c r="E195" s="31">
        <v>12</v>
      </c>
      <c r="F195" s="31" t="s">
        <v>98</v>
      </c>
      <c r="G195" s="31">
        <v>129.4914</v>
      </c>
      <c r="H195" s="31">
        <v>0.316251</v>
      </c>
      <c r="I195" s="31">
        <v>6.8859159999999999</v>
      </c>
      <c r="J195" s="31">
        <v>1.3200000000000001E-5</v>
      </c>
      <c r="K195" s="31">
        <v>7.2215000000000001E-2</v>
      </c>
      <c r="L195" s="31">
        <v>5.6100000000000002E-5</v>
      </c>
      <c r="M195" s="31">
        <v>2.2418E-2</v>
      </c>
      <c r="N195" s="37"/>
    </row>
    <row r="196" spans="2:14" x14ac:dyDescent="0.2">
      <c r="B196" s="36"/>
      <c r="C196" s="31">
        <v>6</v>
      </c>
      <c r="D196" s="31">
        <v>300</v>
      </c>
      <c r="E196" s="31">
        <v>13</v>
      </c>
      <c r="F196" s="31" t="s">
        <v>99</v>
      </c>
      <c r="G196" s="31">
        <v>143.56870000000001</v>
      </c>
      <c r="H196" s="31">
        <v>0.306699</v>
      </c>
      <c r="I196" s="31">
        <v>5.9610260000000004</v>
      </c>
      <c r="J196" s="31">
        <v>1.38E-5</v>
      </c>
      <c r="K196" s="31">
        <v>6.5879999999999994E-2</v>
      </c>
      <c r="L196" s="31">
        <v>-1.9000000000000001E-4</v>
      </c>
      <c r="M196" s="31">
        <v>1.9911000000000002E-2</v>
      </c>
      <c r="N196" s="37"/>
    </row>
    <row r="197" spans="2:14" x14ac:dyDescent="0.2">
      <c r="B197" s="36"/>
      <c r="C197" s="31">
        <v>6</v>
      </c>
      <c r="D197" s="31">
        <v>300</v>
      </c>
      <c r="E197" s="31">
        <v>14</v>
      </c>
      <c r="F197" s="31" t="s">
        <v>100</v>
      </c>
      <c r="G197" s="31">
        <v>161.25380000000001</v>
      </c>
      <c r="H197" s="31">
        <v>0.29754700000000001</v>
      </c>
      <c r="I197" s="31">
        <v>5.9595409999999998</v>
      </c>
      <c r="J197" s="31">
        <v>8.6000000000000007E-6</v>
      </c>
      <c r="K197" s="31">
        <v>7.2075E-2</v>
      </c>
      <c r="L197" s="31">
        <v>-9.3999999999999994E-5</v>
      </c>
      <c r="M197" s="31">
        <v>1.7656000000000002E-2</v>
      </c>
      <c r="N197" s="37"/>
    </row>
    <row r="198" spans="2:14" x14ac:dyDescent="0.2">
      <c r="B198" s="36"/>
      <c r="C198" s="31">
        <v>6</v>
      </c>
      <c r="D198" s="31">
        <v>300</v>
      </c>
      <c r="E198" s="31">
        <v>15</v>
      </c>
      <c r="F198" s="31" t="s">
        <v>101</v>
      </c>
      <c r="G198" s="31">
        <v>158.66050000000001</v>
      </c>
      <c r="H198" s="31">
        <v>0.29421599999999998</v>
      </c>
      <c r="I198" s="31">
        <v>6.0073040000000004</v>
      </c>
      <c r="J198" s="31">
        <v>1.26E-5</v>
      </c>
      <c r="K198" s="31">
        <v>6.9503999999999996E-2</v>
      </c>
      <c r="L198" s="31">
        <v>-9.7999999999999997E-5</v>
      </c>
      <c r="M198" s="31">
        <v>1.8246999999999999E-2</v>
      </c>
      <c r="N198" s="37"/>
    </row>
    <row r="199" spans="2:14" x14ac:dyDescent="0.2">
      <c r="B199" s="36"/>
      <c r="C199" s="31">
        <v>6</v>
      </c>
      <c r="D199" s="31">
        <v>300</v>
      </c>
      <c r="E199" s="31">
        <v>16</v>
      </c>
      <c r="F199" s="31" t="s">
        <v>102</v>
      </c>
      <c r="G199" s="31">
        <v>208.91249999999999</v>
      </c>
      <c r="H199" s="31">
        <v>0.29372300000000001</v>
      </c>
      <c r="I199" s="31">
        <v>5.348433</v>
      </c>
      <c r="J199" s="31">
        <v>1.2300000000000001E-6</v>
      </c>
      <c r="K199" s="31">
        <v>7.1115999999999999E-2</v>
      </c>
      <c r="L199" s="31">
        <v>-1.4999999999999999E-4</v>
      </c>
      <c r="M199" s="31">
        <v>1.3535E-2</v>
      </c>
      <c r="N199" s="37"/>
    </row>
    <row r="200" spans="2:14" x14ac:dyDescent="0.2">
      <c r="B200" s="36"/>
      <c r="C200" s="31">
        <v>6</v>
      </c>
      <c r="D200" s="31">
        <v>300</v>
      </c>
      <c r="E200" s="31">
        <v>17</v>
      </c>
      <c r="F200" s="31" t="s">
        <v>103</v>
      </c>
      <c r="G200" s="31">
        <v>241.26339999999999</v>
      </c>
      <c r="H200" s="31">
        <v>0.32745200000000002</v>
      </c>
      <c r="I200" s="31">
        <v>5.4220620000000004</v>
      </c>
      <c r="J200" s="31">
        <v>-5.0000000000000004E-6</v>
      </c>
      <c r="K200" s="31">
        <v>7.2303000000000006E-2</v>
      </c>
      <c r="L200" s="31">
        <v>3.4600000000000001E-5</v>
      </c>
      <c r="M200" s="31">
        <v>1.1523E-2</v>
      </c>
      <c r="N200" s="37"/>
    </row>
    <row r="201" spans="2:14" x14ac:dyDescent="0.2">
      <c r="B201" s="36"/>
      <c r="C201" s="31">
        <v>6</v>
      </c>
      <c r="D201" s="31">
        <v>300</v>
      </c>
      <c r="E201" s="31">
        <v>18</v>
      </c>
      <c r="F201" s="31" t="s">
        <v>104</v>
      </c>
      <c r="G201" s="31">
        <v>247.7097</v>
      </c>
      <c r="H201" s="31">
        <v>0.231323</v>
      </c>
      <c r="I201" s="31">
        <v>5.600193</v>
      </c>
      <c r="J201" s="31">
        <v>1.5699999999999999E-5</v>
      </c>
      <c r="K201" s="31">
        <v>6.8852999999999998E-2</v>
      </c>
      <c r="L201" s="31">
        <v>-2.3000000000000001E-4</v>
      </c>
      <c r="M201" s="31">
        <v>1.1343000000000001E-2</v>
      </c>
      <c r="N201" s="37"/>
    </row>
    <row r="202" spans="2:14" x14ac:dyDescent="0.2">
      <c r="B202" s="36"/>
      <c r="C202" s="31">
        <v>6</v>
      </c>
      <c r="D202" s="31">
        <v>300</v>
      </c>
      <c r="E202" s="31">
        <v>19</v>
      </c>
      <c r="F202" s="31" t="s">
        <v>105</v>
      </c>
      <c r="G202" s="31">
        <v>283.29700000000003</v>
      </c>
      <c r="H202" s="31">
        <v>0.20180200000000001</v>
      </c>
      <c r="I202" s="31">
        <v>5.8332490000000004</v>
      </c>
      <c r="J202" s="31">
        <v>2.8099999999999999E-5</v>
      </c>
      <c r="K202" s="31">
        <v>6.8569000000000005E-2</v>
      </c>
      <c r="L202" s="31">
        <v>-2.2000000000000001E-4</v>
      </c>
      <c r="M202" s="31">
        <v>1.0028E-2</v>
      </c>
      <c r="N202" s="37"/>
    </row>
    <row r="203" spans="2:14" x14ac:dyDescent="0.2">
      <c r="B203" s="36"/>
      <c r="C203" s="31">
        <v>6</v>
      </c>
      <c r="D203" s="31">
        <v>300</v>
      </c>
      <c r="E203" s="31">
        <v>20</v>
      </c>
      <c r="F203" s="31" t="s">
        <v>106</v>
      </c>
      <c r="G203" s="31">
        <v>293.11989999999997</v>
      </c>
      <c r="H203" s="31">
        <v>0.18390500000000001</v>
      </c>
      <c r="I203" s="31">
        <v>5.6457769999999998</v>
      </c>
      <c r="J203" s="31">
        <v>3.2799999999999998E-5</v>
      </c>
      <c r="K203" s="31">
        <v>6.7041000000000003E-2</v>
      </c>
      <c r="L203" s="31">
        <v>-2.7E-4</v>
      </c>
      <c r="M203" s="31">
        <v>9.7689999999999999E-3</v>
      </c>
      <c r="N203" s="37"/>
    </row>
    <row r="204" spans="2:14" x14ac:dyDescent="0.2">
      <c r="B204" s="36"/>
      <c r="C204" s="38"/>
      <c r="D204" s="38"/>
      <c r="E204" s="38"/>
      <c r="F204" s="38"/>
      <c r="G204" s="38"/>
      <c r="H204" s="38"/>
      <c r="I204" s="38"/>
      <c r="J204" s="38"/>
      <c r="K204" s="38"/>
      <c r="L204" s="38"/>
      <c r="M204" s="38"/>
      <c r="N204" s="37"/>
    </row>
    <row r="205" spans="2:14" x14ac:dyDescent="0.2">
      <c r="B205" s="36"/>
      <c r="C205" s="30" t="s">
        <v>119</v>
      </c>
      <c r="D205" s="30" t="s">
        <v>120</v>
      </c>
      <c r="E205" s="30"/>
      <c r="F205" s="30" t="s">
        <v>107</v>
      </c>
      <c r="G205" s="30" t="s">
        <v>115</v>
      </c>
      <c r="H205" s="30" t="s">
        <v>6</v>
      </c>
      <c r="I205" s="30" t="s">
        <v>7</v>
      </c>
      <c r="J205" s="30" t="s">
        <v>8</v>
      </c>
      <c r="K205" s="30" t="s">
        <v>9</v>
      </c>
      <c r="L205" s="30" t="s">
        <v>10</v>
      </c>
      <c r="M205" s="30" t="s">
        <v>11</v>
      </c>
      <c r="N205" s="37"/>
    </row>
    <row r="206" spans="2:14" x14ac:dyDescent="0.2">
      <c r="B206" s="36"/>
      <c r="C206" s="31">
        <v>8</v>
      </c>
      <c r="D206" s="31">
        <v>20</v>
      </c>
      <c r="E206" s="31">
        <v>1</v>
      </c>
      <c r="F206" s="31" t="s">
        <v>87</v>
      </c>
      <c r="G206" s="31">
        <v>22.32029</v>
      </c>
      <c r="H206" s="31">
        <v>0.638351</v>
      </c>
      <c r="I206" s="31">
        <v>8.4575619999999994</v>
      </c>
      <c r="J206" s="31">
        <v>1.2300000000000001E-5</v>
      </c>
      <c r="K206" s="31">
        <v>2.7831000000000002E-2</v>
      </c>
      <c r="L206" s="31">
        <v>7.7800000000000005E-4</v>
      </c>
      <c r="M206" s="31">
        <v>0.143898</v>
      </c>
      <c r="N206" s="37"/>
    </row>
    <row r="207" spans="2:14" x14ac:dyDescent="0.2">
      <c r="B207" s="36"/>
      <c r="C207" s="31">
        <v>8</v>
      </c>
      <c r="D207" s="31">
        <v>20</v>
      </c>
      <c r="E207" s="31">
        <v>2</v>
      </c>
      <c r="F207" s="31" t="s">
        <v>88</v>
      </c>
      <c r="G207" s="31">
        <v>29.547080000000001</v>
      </c>
      <c r="H207" s="31">
        <v>0.64792099999999997</v>
      </c>
      <c r="I207" s="31">
        <v>9.6066109999999991</v>
      </c>
      <c r="J207" s="31">
        <v>7.5000000000000002E-6</v>
      </c>
      <c r="K207" s="31">
        <v>2.5998E-2</v>
      </c>
      <c r="L207" s="31">
        <v>8.8500000000000004E-4</v>
      </c>
      <c r="M207" s="31">
        <v>0.118559</v>
      </c>
      <c r="N207" s="37"/>
    </row>
    <row r="208" spans="2:14" x14ac:dyDescent="0.2">
      <c r="B208" s="36"/>
      <c r="C208" s="31">
        <v>8</v>
      </c>
      <c r="D208" s="31">
        <v>20</v>
      </c>
      <c r="E208" s="31">
        <v>3</v>
      </c>
      <c r="F208" s="31" t="s">
        <v>89</v>
      </c>
      <c r="G208" s="31">
        <v>38.528599999999997</v>
      </c>
      <c r="H208" s="31">
        <v>0.66870499999999999</v>
      </c>
      <c r="I208" s="31">
        <v>10.234590000000001</v>
      </c>
      <c r="J208" s="31">
        <v>6.1500000000000004E-6</v>
      </c>
      <c r="K208" s="31">
        <v>2.3210000000000001E-2</v>
      </c>
      <c r="L208" s="31">
        <v>9.5E-4</v>
      </c>
      <c r="M208" s="31">
        <v>8.6985999999999994E-2</v>
      </c>
      <c r="N208" s="37"/>
    </row>
    <row r="209" spans="2:14" x14ac:dyDescent="0.2">
      <c r="B209" s="36"/>
      <c r="C209" s="31">
        <v>8</v>
      </c>
      <c r="D209" s="31">
        <v>20</v>
      </c>
      <c r="E209" s="31">
        <v>4</v>
      </c>
      <c r="F209" s="31" t="s">
        <v>90</v>
      </c>
      <c r="G209" s="31">
        <v>34.397069999999999</v>
      </c>
      <c r="H209" s="31">
        <v>0.66520299999999999</v>
      </c>
      <c r="I209" s="31">
        <v>6.1687529999999997</v>
      </c>
      <c r="J209" s="31">
        <v>-2.5000000000000002E-6</v>
      </c>
      <c r="K209" s="31">
        <v>3.7322000000000001E-2</v>
      </c>
      <c r="L209" s="31">
        <v>2.2959999999999999E-3</v>
      </c>
      <c r="M209" s="31">
        <v>0.122428</v>
      </c>
      <c r="N209" s="37"/>
    </row>
    <row r="210" spans="2:14" x14ac:dyDescent="0.2">
      <c r="B210" s="36"/>
      <c r="C210" s="31">
        <v>8</v>
      </c>
      <c r="D210" s="31">
        <v>20</v>
      </c>
      <c r="E210" s="31">
        <v>5</v>
      </c>
      <c r="F210" s="31" t="s">
        <v>91</v>
      </c>
      <c r="G210" s="31">
        <v>37.446640000000002</v>
      </c>
      <c r="H210" s="31">
        <v>0.65381599999999995</v>
      </c>
      <c r="I210" s="31">
        <v>6.2749189999999997</v>
      </c>
      <c r="J210" s="31">
        <v>3.18E-6</v>
      </c>
      <c r="K210" s="31">
        <v>3.2932999999999997E-2</v>
      </c>
      <c r="L210" s="31">
        <v>1.9469999999999999E-3</v>
      </c>
      <c r="M210" s="31">
        <v>8.3960999999999994E-2</v>
      </c>
      <c r="N210" s="37"/>
    </row>
    <row r="211" spans="2:14" x14ac:dyDescent="0.2">
      <c r="B211" s="36"/>
      <c r="C211" s="31">
        <v>8</v>
      </c>
      <c r="D211" s="31">
        <v>20</v>
      </c>
      <c r="E211" s="31">
        <v>6</v>
      </c>
      <c r="F211" s="31" t="s">
        <v>92</v>
      </c>
      <c r="G211" s="31">
        <v>48.324190000000002</v>
      </c>
      <c r="H211" s="31">
        <v>0.63358099999999995</v>
      </c>
      <c r="I211" s="31">
        <v>5.2055660000000001</v>
      </c>
      <c r="J211" s="31">
        <v>6.1299999999999998E-6</v>
      </c>
      <c r="K211" s="31">
        <v>3.8719000000000003E-2</v>
      </c>
      <c r="L211" s="31">
        <v>1.833E-3</v>
      </c>
      <c r="M211" s="31">
        <v>8.9416999999999996E-2</v>
      </c>
      <c r="N211" s="37"/>
    </row>
    <row r="212" spans="2:14" x14ac:dyDescent="0.2">
      <c r="B212" s="36"/>
      <c r="C212" s="31">
        <v>8</v>
      </c>
      <c r="D212" s="31">
        <v>20</v>
      </c>
      <c r="E212" s="31">
        <v>7</v>
      </c>
      <c r="F212" s="31" t="s">
        <v>93</v>
      </c>
      <c r="G212" s="31">
        <v>55.73066</v>
      </c>
      <c r="H212" s="31">
        <v>0.55671499999999996</v>
      </c>
      <c r="I212" s="31">
        <v>7.6472879999999996</v>
      </c>
      <c r="J212" s="31">
        <v>6.7599999999999997E-6</v>
      </c>
      <c r="K212" s="31">
        <v>3.3555000000000001E-2</v>
      </c>
      <c r="L212" s="31">
        <v>1.7309999999999999E-3</v>
      </c>
      <c r="M212" s="31">
        <v>6.2743999999999994E-2</v>
      </c>
      <c r="N212" s="37"/>
    </row>
    <row r="213" spans="2:14" x14ac:dyDescent="0.2">
      <c r="B213" s="36"/>
      <c r="C213" s="31">
        <v>8</v>
      </c>
      <c r="D213" s="31">
        <v>20</v>
      </c>
      <c r="E213" s="31">
        <v>8</v>
      </c>
      <c r="F213" s="31" t="s">
        <v>94</v>
      </c>
      <c r="G213" s="31">
        <v>87.044160000000005</v>
      </c>
      <c r="H213" s="31">
        <v>0.32662799999999997</v>
      </c>
      <c r="I213" s="31">
        <v>7.8407150000000003</v>
      </c>
      <c r="J213" s="31">
        <v>-8.2000000000000006E-8</v>
      </c>
      <c r="K213" s="31">
        <v>5.8713000000000001E-2</v>
      </c>
      <c r="L213" s="31">
        <v>3.7300000000000001E-4</v>
      </c>
      <c r="M213" s="31">
        <v>4.5384000000000001E-2</v>
      </c>
      <c r="N213" s="37"/>
    </row>
    <row r="214" spans="2:14" x14ac:dyDescent="0.2">
      <c r="B214" s="36"/>
      <c r="C214" s="31">
        <v>8</v>
      </c>
      <c r="D214" s="31">
        <v>20</v>
      </c>
      <c r="E214" s="31">
        <v>9</v>
      </c>
      <c r="F214" s="31" t="s">
        <v>95</v>
      </c>
      <c r="G214" s="31">
        <v>130.92590000000001</v>
      </c>
      <c r="H214" s="31">
        <v>0.51756899999999995</v>
      </c>
      <c r="I214" s="31">
        <v>5.3742089999999996</v>
      </c>
      <c r="J214" s="31">
        <v>-1.9000000000000001E-5</v>
      </c>
      <c r="K214" s="31">
        <v>5.2479999999999999E-2</v>
      </c>
      <c r="L214" s="31">
        <v>7.2099999999999996E-4</v>
      </c>
      <c r="M214" s="31">
        <v>2.7005999999999999E-2</v>
      </c>
      <c r="N214" s="37"/>
    </row>
    <row r="215" spans="2:14" x14ac:dyDescent="0.2">
      <c r="B215" s="36"/>
      <c r="C215" s="31">
        <v>8</v>
      </c>
      <c r="D215" s="31">
        <v>20</v>
      </c>
      <c r="E215" s="31">
        <v>10</v>
      </c>
      <c r="F215" s="31" t="s">
        <v>96</v>
      </c>
      <c r="G215" s="31">
        <v>114.7653</v>
      </c>
      <c r="H215" s="31">
        <v>0.27157599999999998</v>
      </c>
      <c r="I215" s="31">
        <v>8.3297019999999993</v>
      </c>
      <c r="J215" s="31">
        <v>2.7499999999999999E-6</v>
      </c>
      <c r="K215" s="31">
        <v>7.6418E-2</v>
      </c>
      <c r="L215" s="31">
        <v>-2.9999999999999997E-4</v>
      </c>
      <c r="M215" s="31">
        <v>3.5503E-2</v>
      </c>
      <c r="N215" s="37"/>
    </row>
    <row r="216" spans="2:14" x14ac:dyDescent="0.2">
      <c r="B216" s="36"/>
      <c r="C216" s="31">
        <v>8</v>
      </c>
      <c r="D216" s="31">
        <v>20</v>
      </c>
      <c r="E216" s="31">
        <v>11</v>
      </c>
      <c r="F216" s="31" t="s">
        <v>97</v>
      </c>
      <c r="G216" s="31">
        <v>126.5033</v>
      </c>
      <c r="H216" s="31">
        <v>0.28434500000000001</v>
      </c>
      <c r="I216" s="31">
        <v>7.5731630000000001</v>
      </c>
      <c r="J216" s="31">
        <v>4.6199999999999998E-6</v>
      </c>
      <c r="K216" s="31">
        <v>7.4210999999999999E-2</v>
      </c>
      <c r="L216" s="31">
        <v>-2.2000000000000001E-4</v>
      </c>
      <c r="M216" s="31">
        <v>3.0814000000000001E-2</v>
      </c>
      <c r="N216" s="37"/>
    </row>
    <row r="217" spans="2:14" x14ac:dyDescent="0.2">
      <c r="B217" s="36"/>
      <c r="C217" s="31">
        <v>8</v>
      </c>
      <c r="D217" s="31">
        <v>20</v>
      </c>
      <c r="E217" s="31">
        <v>12</v>
      </c>
      <c r="F217" s="31" t="s">
        <v>98</v>
      </c>
      <c r="G217" s="31">
        <v>139.87350000000001</v>
      </c>
      <c r="H217" s="31">
        <v>0.27908100000000002</v>
      </c>
      <c r="I217" s="31">
        <v>7.0453950000000001</v>
      </c>
      <c r="J217" s="31">
        <v>3.54E-6</v>
      </c>
      <c r="K217" s="31">
        <v>7.3405999999999999E-2</v>
      </c>
      <c r="L217" s="31">
        <v>-2.4000000000000001E-4</v>
      </c>
      <c r="M217" s="31">
        <v>2.81E-2</v>
      </c>
      <c r="N217" s="37"/>
    </row>
    <row r="218" spans="2:14" x14ac:dyDescent="0.2">
      <c r="B218" s="36"/>
      <c r="C218" s="31">
        <v>8</v>
      </c>
      <c r="D218" s="31">
        <v>20</v>
      </c>
      <c r="E218" s="31">
        <v>13</v>
      </c>
      <c r="F218" s="31" t="s">
        <v>99</v>
      </c>
      <c r="G218" s="31">
        <v>157.95439999999999</v>
      </c>
      <c r="H218" s="31">
        <v>0.222609</v>
      </c>
      <c r="I218" s="31">
        <v>6.5961059999999998</v>
      </c>
      <c r="J218" s="31">
        <v>1.08E-5</v>
      </c>
      <c r="K218" s="31">
        <v>6.6896999999999998E-2</v>
      </c>
      <c r="L218" s="31">
        <v>-4.8000000000000001E-4</v>
      </c>
      <c r="M218" s="31">
        <v>2.4937000000000001E-2</v>
      </c>
      <c r="N218" s="37"/>
    </row>
    <row r="219" spans="2:14" x14ac:dyDescent="0.2">
      <c r="B219" s="36"/>
      <c r="C219" s="31">
        <v>8</v>
      </c>
      <c r="D219" s="31">
        <v>20</v>
      </c>
      <c r="E219" s="31">
        <v>14</v>
      </c>
      <c r="F219" s="31" t="s">
        <v>100</v>
      </c>
      <c r="G219" s="31">
        <v>178.67840000000001</v>
      </c>
      <c r="H219" s="31">
        <v>0.21588399999999999</v>
      </c>
      <c r="I219" s="31">
        <v>6.5657310000000004</v>
      </c>
      <c r="J219" s="31">
        <v>6.81E-6</v>
      </c>
      <c r="K219" s="31">
        <v>7.1298E-2</v>
      </c>
      <c r="L219" s="31">
        <v>-3.3E-4</v>
      </c>
      <c r="M219" s="31">
        <v>2.1873E-2</v>
      </c>
      <c r="N219" s="37"/>
    </row>
    <row r="220" spans="2:14" x14ac:dyDescent="0.2">
      <c r="B220" s="36"/>
      <c r="C220" s="31">
        <v>8</v>
      </c>
      <c r="D220" s="31">
        <v>20</v>
      </c>
      <c r="E220" s="31">
        <v>15</v>
      </c>
      <c r="F220" s="31" t="s">
        <v>101</v>
      </c>
      <c r="G220" s="31">
        <v>174.9632</v>
      </c>
      <c r="H220" s="31">
        <v>0.21401200000000001</v>
      </c>
      <c r="I220" s="31">
        <v>6.557188</v>
      </c>
      <c r="J220" s="31">
        <v>9.1300000000000007E-6</v>
      </c>
      <c r="K220" s="31">
        <v>7.0041000000000006E-2</v>
      </c>
      <c r="L220" s="31">
        <v>-3.6999999999999999E-4</v>
      </c>
      <c r="M220" s="31">
        <v>2.2825000000000002E-2</v>
      </c>
      <c r="N220" s="37"/>
    </row>
    <row r="221" spans="2:14" x14ac:dyDescent="0.2">
      <c r="B221" s="36"/>
      <c r="C221" s="31">
        <v>8</v>
      </c>
      <c r="D221" s="31">
        <v>20</v>
      </c>
      <c r="E221" s="31">
        <v>16</v>
      </c>
      <c r="F221" s="31" t="s">
        <v>102</v>
      </c>
      <c r="G221" s="31">
        <v>238.41829999999999</v>
      </c>
      <c r="H221" s="31">
        <v>0.16072400000000001</v>
      </c>
      <c r="I221" s="31">
        <v>6.3714680000000001</v>
      </c>
      <c r="J221" s="31">
        <v>1.6200000000000001E-5</v>
      </c>
      <c r="K221" s="31">
        <v>6.8294999999999995E-2</v>
      </c>
      <c r="L221" s="31">
        <v>-3.6999999999999999E-4</v>
      </c>
      <c r="M221" s="31">
        <v>1.6513E-2</v>
      </c>
      <c r="N221" s="37"/>
    </row>
    <row r="222" spans="2:14" x14ac:dyDescent="0.2">
      <c r="B222" s="36"/>
      <c r="C222" s="31">
        <v>8</v>
      </c>
      <c r="D222" s="31">
        <v>20</v>
      </c>
      <c r="E222" s="31">
        <v>17</v>
      </c>
      <c r="F222" s="31" t="s">
        <v>103</v>
      </c>
      <c r="G222" s="31">
        <v>274.77510000000001</v>
      </c>
      <c r="H222" s="31">
        <v>0.19064700000000001</v>
      </c>
      <c r="I222" s="31">
        <v>6.5113989999999999</v>
      </c>
      <c r="J222" s="31">
        <v>1.4399999999999999E-5</v>
      </c>
      <c r="K222" s="31">
        <v>6.8886000000000003E-2</v>
      </c>
      <c r="L222" s="31">
        <v>-1.9000000000000001E-4</v>
      </c>
      <c r="M222" s="31">
        <v>1.4052E-2</v>
      </c>
      <c r="N222" s="37"/>
    </row>
    <row r="223" spans="2:14" x14ac:dyDescent="0.2">
      <c r="B223" s="36"/>
      <c r="C223" s="31">
        <v>8</v>
      </c>
      <c r="D223" s="31">
        <v>20</v>
      </c>
      <c r="E223" s="31">
        <v>18</v>
      </c>
      <c r="F223" s="31" t="s">
        <v>104</v>
      </c>
      <c r="G223" s="31">
        <v>287.29379999999998</v>
      </c>
      <c r="H223" s="31">
        <v>9.3365000000000004E-2</v>
      </c>
      <c r="I223" s="31">
        <v>6.2697760000000002</v>
      </c>
      <c r="J223" s="31">
        <v>4.18E-5</v>
      </c>
      <c r="K223" s="31">
        <v>6.5126000000000003E-2</v>
      </c>
      <c r="L223" s="31">
        <v>-4.2999999999999999E-4</v>
      </c>
      <c r="M223" s="31">
        <v>1.3729999999999999E-2</v>
      </c>
      <c r="N223" s="37"/>
    </row>
    <row r="224" spans="2:14" x14ac:dyDescent="0.2">
      <c r="B224" s="36"/>
      <c r="C224" s="31">
        <v>8</v>
      </c>
      <c r="D224" s="31">
        <v>20</v>
      </c>
      <c r="E224" s="31">
        <v>19</v>
      </c>
      <c r="F224" s="31" t="s">
        <v>105</v>
      </c>
      <c r="G224" s="31">
        <v>330.09789999999998</v>
      </c>
      <c r="H224" s="31">
        <v>5.7983E-2</v>
      </c>
      <c r="I224" s="31">
        <v>6.3504940000000003</v>
      </c>
      <c r="J224" s="31">
        <v>6.3E-5</v>
      </c>
      <c r="K224" s="31">
        <v>6.472E-2</v>
      </c>
      <c r="L224" s="31">
        <v>-4.2999999999999999E-4</v>
      </c>
      <c r="M224" s="31">
        <v>1.2193000000000001E-2</v>
      </c>
      <c r="N224" s="37"/>
    </row>
    <row r="225" spans="2:14" x14ac:dyDescent="0.2">
      <c r="B225" s="36"/>
      <c r="C225" s="31">
        <v>8</v>
      </c>
      <c r="D225" s="31">
        <v>20</v>
      </c>
      <c r="E225" s="31">
        <v>20</v>
      </c>
      <c r="F225" s="31" t="s">
        <v>106</v>
      </c>
      <c r="G225" s="31">
        <v>342.85969999999998</v>
      </c>
      <c r="H225" s="31">
        <v>4.4588999999999997E-2</v>
      </c>
      <c r="I225" s="31">
        <v>6.0637379999999999</v>
      </c>
      <c r="J225" s="31">
        <v>6.58E-5</v>
      </c>
      <c r="K225" s="31">
        <v>6.3090999999999994E-2</v>
      </c>
      <c r="L225" s="31">
        <v>-4.6000000000000001E-4</v>
      </c>
      <c r="M225" s="31">
        <v>1.1863E-2</v>
      </c>
      <c r="N225" s="37"/>
    </row>
    <row r="226" spans="2:14" x14ac:dyDescent="0.2">
      <c r="B226" s="36"/>
      <c r="C226" s="38"/>
      <c r="D226" s="38"/>
      <c r="E226" s="38"/>
      <c r="F226" s="38"/>
      <c r="G226" s="38"/>
      <c r="H226" s="38"/>
      <c r="I226" s="38"/>
      <c r="J226" s="38"/>
      <c r="K226" s="38"/>
      <c r="L226" s="38"/>
      <c r="M226" s="38"/>
      <c r="N226" s="37"/>
    </row>
    <row r="227" spans="2:14" x14ac:dyDescent="0.2">
      <c r="B227" s="36"/>
      <c r="C227" s="30" t="s">
        <v>119</v>
      </c>
      <c r="D227" s="30" t="s">
        <v>120</v>
      </c>
      <c r="E227" s="30"/>
      <c r="F227" s="30" t="s">
        <v>107</v>
      </c>
      <c r="G227" s="30" t="s">
        <v>115</v>
      </c>
      <c r="H227" s="30" t="s">
        <v>6</v>
      </c>
      <c r="I227" s="30" t="s">
        <v>7</v>
      </c>
      <c r="J227" s="30" t="s">
        <v>8</v>
      </c>
      <c r="K227" s="30" t="s">
        <v>9</v>
      </c>
      <c r="L227" s="30" t="s">
        <v>10</v>
      </c>
      <c r="M227" s="30" t="s">
        <v>11</v>
      </c>
      <c r="N227" s="37"/>
    </row>
    <row r="228" spans="2:14" x14ac:dyDescent="0.2">
      <c r="B228" s="36"/>
      <c r="C228" s="31">
        <v>8</v>
      </c>
      <c r="D228" s="31">
        <v>120</v>
      </c>
      <c r="E228" s="31">
        <v>1</v>
      </c>
      <c r="F228" s="31" t="s">
        <v>87</v>
      </c>
      <c r="G228" s="31">
        <v>22.326969999999999</v>
      </c>
      <c r="H228" s="31">
        <v>0.64180700000000002</v>
      </c>
      <c r="I228" s="31">
        <v>8.2695150000000002</v>
      </c>
      <c r="J228" s="31">
        <v>1.13E-5</v>
      </c>
      <c r="K228" s="31">
        <v>2.8511999999999999E-2</v>
      </c>
      <c r="L228" s="31">
        <v>7.1900000000000002E-4</v>
      </c>
      <c r="M228" s="31">
        <v>0.14627299999999999</v>
      </c>
      <c r="N228" s="37"/>
    </row>
    <row r="229" spans="2:14" x14ac:dyDescent="0.2">
      <c r="B229" s="36"/>
      <c r="C229" s="31">
        <v>8</v>
      </c>
      <c r="D229" s="31">
        <v>120</v>
      </c>
      <c r="E229" s="31">
        <v>2</v>
      </c>
      <c r="F229" s="31" t="s">
        <v>88</v>
      </c>
      <c r="G229" s="31">
        <v>29.564979999999998</v>
      </c>
      <c r="H229" s="31">
        <v>0.65096200000000004</v>
      </c>
      <c r="I229" s="31">
        <v>9.4199350000000006</v>
      </c>
      <c r="J229" s="31">
        <v>6.4899999999999997E-6</v>
      </c>
      <c r="K229" s="31">
        <v>2.6658000000000001E-2</v>
      </c>
      <c r="L229" s="31">
        <v>8.2799999999999996E-4</v>
      </c>
      <c r="M229" s="31">
        <v>0.12056500000000001</v>
      </c>
      <c r="N229" s="37"/>
    </row>
    <row r="230" spans="2:14" x14ac:dyDescent="0.2">
      <c r="B230" s="36"/>
      <c r="C230" s="31">
        <v>8</v>
      </c>
      <c r="D230" s="31">
        <v>120</v>
      </c>
      <c r="E230" s="31">
        <v>3</v>
      </c>
      <c r="F230" s="31" t="s">
        <v>89</v>
      </c>
      <c r="G230" s="31">
        <v>38.569450000000003</v>
      </c>
      <c r="H230" s="31">
        <v>0.67069000000000001</v>
      </c>
      <c r="I230" s="31">
        <v>10.0717</v>
      </c>
      <c r="J230" s="31">
        <v>5.3900000000000001E-6</v>
      </c>
      <c r="K230" s="31">
        <v>2.3698E-2</v>
      </c>
      <c r="L230" s="31">
        <v>9.0300000000000005E-4</v>
      </c>
      <c r="M230" s="31">
        <v>8.863E-2</v>
      </c>
      <c r="N230" s="37"/>
    </row>
    <row r="231" spans="2:14" x14ac:dyDescent="0.2">
      <c r="B231" s="36"/>
      <c r="C231" s="31">
        <v>8</v>
      </c>
      <c r="D231" s="31">
        <v>120</v>
      </c>
      <c r="E231" s="31">
        <v>4</v>
      </c>
      <c r="F231" s="31" t="s">
        <v>90</v>
      </c>
      <c r="G231" s="31">
        <v>34.417169999999999</v>
      </c>
      <c r="H231" s="31">
        <v>0.665134</v>
      </c>
      <c r="I231" s="31">
        <v>6.1145659999999999</v>
      </c>
      <c r="J231" s="31">
        <v>-2.7E-6</v>
      </c>
      <c r="K231" s="31">
        <v>3.7423999999999999E-2</v>
      </c>
      <c r="L231" s="31">
        <v>2.2829999999999999E-3</v>
      </c>
      <c r="M231" s="31">
        <v>0.12319099999999999</v>
      </c>
      <c r="N231" s="37"/>
    </row>
    <row r="232" spans="2:14" x14ac:dyDescent="0.2">
      <c r="B232" s="36"/>
      <c r="C232" s="31">
        <v>8</v>
      </c>
      <c r="D232" s="31">
        <v>120</v>
      </c>
      <c r="E232" s="31">
        <v>5</v>
      </c>
      <c r="F232" s="31" t="s">
        <v>91</v>
      </c>
      <c r="G232" s="31">
        <v>37.48462</v>
      </c>
      <c r="H232" s="31">
        <v>0.652532</v>
      </c>
      <c r="I232" s="31">
        <v>6.1888629999999996</v>
      </c>
      <c r="J232" s="31">
        <v>2.8700000000000001E-6</v>
      </c>
      <c r="K232" s="31">
        <v>3.3189999999999997E-2</v>
      </c>
      <c r="L232" s="31">
        <v>1.918E-3</v>
      </c>
      <c r="M232" s="31">
        <v>8.5226999999999997E-2</v>
      </c>
      <c r="N232" s="37"/>
    </row>
    <row r="233" spans="2:14" x14ac:dyDescent="0.2">
      <c r="B233" s="36"/>
      <c r="C233" s="31">
        <v>8</v>
      </c>
      <c r="D233" s="31">
        <v>120</v>
      </c>
      <c r="E233" s="31">
        <v>6</v>
      </c>
      <c r="F233" s="31" t="s">
        <v>92</v>
      </c>
      <c r="G233" s="31">
        <v>48.35548</v>
      </c>
      <c r="H233" s="31">
        <v>0.64252699999999996</v>
      </c>
      <c r="I233" s="31">
        <v>4.9537440000000004</v>
      </c>
      <c r="J233" s="31">
        <v>4.2699999999999998E-6</v>
      </c>
      <c r="K233" s="31">
        <v>3.8698999999999997E-2</v>
      </c>
      <c r="L233" s="31">
        <v>1.8159999999999999E-3</v>
      </c>
      <c r="M233" s="31">
        <v>9.0075000000000002E-2</v>
      </c>
      <c r="N233" s="37"/>
    </row>
    <row r="234" spans="2:14" x14ac:dyDescent="0.2">
      <c r="B234" s="36"/>
      <c r="C234" s="31">
        <v>8</v>
      </c>
      <c r="D234" s="31">
        <v>120</v>
      </c>
      <c r="E234" s="31">
        <v>7</v>
      </c>
      <c r="F234" s="31" t="s">
        <v>93</v>
      </c>
      <c r="G234" s="31">
        <v>55.832819999999998</v>
      </c>
      <c r="H234" s="31">
        <v>0.56672699999999998</v>
      </c>
      <c r="I234" s="31">
        <v>7.3913640000000003</v>
      </c>
      <c r="J234" s="31">
        <v>5.2399999999999998E-6</v>
      </c>
      <c r="K234" s="31">
        <v>3.3408E-2</v>
      </c>
      <c r="L234" s="31">
        <v>1.7160000000000001E-3</v>
      </c>
      <c r="M234" s="31">
        <v>6.2659000000000006E-2</v>
      </c>
      <c r="N234" s="37"/>
    </row>
    <row r="235" spans="2:14" x14ac:dyDescent="0.2">
      <c r="B235" s="36"/>
      <c r="C235" s="31">
        <v>8</v>
      </c>
      <c r="D235" s="31">
        <v>120</v>
      </c>
      <c r="E235" s="31">
        <v>8</v>
      </c>
      <c r="F235" s="31" t="s">
        <v>94</v>
      </c>
      <c r="G235" s="31">
        <v>87.604200000000006</v>
      </c>
      <c r="H235" s="31">
        <v>0.32432899999999998</v>
      </c>
      <c r="I235" s="31">
        <v>7.7428169999999996</v>
      </c>
      <c r="J235" s="31">
        <v>9.3399999999999997E-7</v>
      </c>
      <c r="K235" s="31">
        <v>5.7891999999999999E-2</v>
      </c>
      <c r="L235" s="31">
        <v>3.86E-4</v>
      </c>
      <c r="M235" s="31">
        <v>4.5266000000000001E-2</v>
      </c>
      <c r="N235" s="37"/>
    </row>
    <row r="236" spans="2:14" x14ac:dyDescent="0.2">
      <c r="B236" s="36"/>
      <c r="C236" s="31">
        <v>8</v>
      </c>
      <c r="D236" s="31">
        <v>120</v>
      </c>
      <c r="E236" s="31">
        <v>9</v>
      </c>
      <c r="F236" s="31" t="s">
        <v>95</v>
      </c>
      <c r="G236" s="31">
        <v>131.5805</v>
      </c>
      <c r="H236" s="31">
        <v>0.51386500000000002</v>
      </c>
      <c r="I236" s="31">
        <v>5.3386440000000004</v>
      </c>
      <c r="J236" s="31">
        <v>-1.9000000000000001E-5</v>
      </c>
      <c r="K236" s="31">
        <v>5.2177000000000001E-2</v>
      </c>
      <c r="L236" s="31">
        <v>7.18E-4</v>
      </c>
      <c r="M236" s="31">
        <v>2.6959E-2</v>
      </c>
      <c r="N236" s="37"/>
    </row>
    <row r="237" spans="2:14" x14ac:dyDescent="0.2">
      <c r="B237" s="36"/>
      <c r="C237" s="31">
        <v>8</v>
      </c>
      <c r="D237" s="31">
        <v>120</v>
      </c>
      <c r="E237" s="31">
        <v>10</v>
      </c>
      <c r="F237" s="31" t="s">
        <v>96</v>
      </c>
      <c r="G237" s="31">
        <v>116.7518</v>
      </c>
      <c r="H237" s="31">
        <v>0.28950100000000001</v>
      </c>
      <c r="I237" s="31">
        <v>7.6022080000000001</v>
      </c>
      <c r="J237" s="31">
        <v>1.77E-6</v>
      </c>
      <c r="K237" s="31">
        <v>7.2561E-2</v>
      </c>
      <c r="L237" s="31">
        <v>-1.7000000000000001E-4</v>
      </c>
      <c r="M237" s="31">
        <v>3.5395000000000003E-2</v>
      </c>
      <c r="N237" s="37"/>
    </row>
    <row r="238" spans="2:14" x14ac:dyDescent="0.2">
      <c r="B238" s="36"/>
      <c r="C238" s="31">
        <v>8</v>
      </c>
      <c r="D238" s="31">
        <v>120</v>
      </c>
      <c r="E238" s="31">
        <v>11</v>
      </c>
      <c r="F238" s="31" t="s">
        <v>97</v>
      </c>
      <c r="G238" s="31">
        <v>129.0754</v>
      </c>
      <c r="H238" s="31">
        <v>0.29081000000000001</v>
      </c>
      <c r="I238" s="31">
        <v>7.0737290000000002</v>
      </c>
      <c r="J238" s="31">
        <v>5.9000000000000003E-6</v>
      </c>
      <c r="K238" s="31">
        <v>7.0458000000000007E-2</v>
      </c>
      <c r="L238" s="31">
        <v>-1E-4</v>
      </c>
      <c r="M238" s="31">
        <v>3.0501E-2</v>
      </c>
      <c r="N238" s="37"/>
    </row>
    <row r="239" spans="2:14" x14ac:dyDescent="0.2">
      <c r="B239" s="36"/>
      <c r="C239" s="31">
        <v>8</v>
      </c>
      <c r="D239" s="31">
        <v>120</v>
      </c>
      <c r="E239" s="31">
        <v>12</v>
      </c>
      <c r="F239" s="31" t="s">
        <v>98</v>
      </c>
      <c r="G239" s="31">
        <v>142.76439999999999</v>
      </c>
      <c r="H239" s="31">
        <v>0.281918</v>
      </c>
      <c r="I239" s="31">
        <v>6.629753</v>
      </c>
      <c r="J239" s="31">
        <v>5.4099999999999999E-6</v>
      </c>
      <c r="K239" s="31">
        <v>6.9766999999999996E-2</v>
      </c>
      <c r="L239" s="31">
        <v>-1.2999999999999999E-4</v>
      </c>
      <c r="M239" s="31">
        <v>2.7789000000000001E-2</v>
      </c>
      <c r="N239" s="37"/>
    </row>
    <row r="240" spans="2:14" x14ac:dyDescent="0.2">
      <c r="B240" s="36"/>
      <c r="C240" s="31">
        <v>8</v>
      </c>
      <c r="D240" s="31">
        <v>120</v>
      </c>
      <c r="E240" s="31">
        <v>13</v>
      </c>
      <c r="F240" s="31" t="s">
        <v>99</v>
      </c>
      <c r="G240" s="31">
        <v>161.39330000000001</v>
      </c>
      <c r="H240" s="31">
        <v>0.22509599999999999</v>
      </c>
      <c r="I240" s="31">
        <v>6.1840619999999999</v>
      </c>
      <c r="J240" s="31">
        <v>1.34E-5</v>
      </c>
      <c r="K240" s="31">
        <v>6.3436999999999993E-2</v>
      </c>
      <c r="L240" s="31">
        <v>-3.6999999999999999E-4</v>
      </c>
      <c r="M240" s="31">
        <v>2.4627E-2</v>
      </c>
      <c r="N240" s="37"/>
    </row>
    <row r="241" spans="2:14" x14ac:dyDescent="0.2">
      <c r="B241" s="36"/>
      <c r="C241" s="31">
        <v>8</v>
      </c>
      <c r="D241" s="31">
        <v>120</v>
      </c>
      <c r="E241" s="31">
        <v>14</v>
      </c>
      <c r="F241" s="31" t="s">
        <v>100</v>
      </c>
      <c r="G241" s="31">
        <v>182.5335</v>
      </c>
      <c r="H241" s="31">
        <v>0.21868699999999999</v>
      </c>
      <c r="I241" s="31">
        <v>6.1578419999999996</v>
      </c>
      <c r="J241" s="31">
        <v>8.8200000000000003E-6</v>
      </c>
      <c r="K241" s="31">
        <v>6.7991999999999997E-2</v>
      </c>
      <c r="L241" s="31">
        <v>-2.3000000000000001E-4</v>
      </c>
      <c r="M241" s="31">
        <v>2.1600000000000001E-2</v>
      </c>
      <c r="N241" s="37"/>
    </row>
    <row r="242" spans="2:14" x14ac:dyDescent="0.2">
      <c r="B242" s="36"/>
      <c r="C242" s="31">
        <v>8</v>
      </c>
      <c r="D242" s="31">
        <v>120</v>
      </c>
      <c r="E242" s="31">
        <v>15</v>
      </c>
      <c r="F242" s="31" t="s">
        <v>101</v>
      </c>
      <c r="G242" s="31">
        <v>178.79060000000001</v>
      </c>
      <c r="H242" s="31">
        <v>0.21703600000000001</v>
      </c>
      <c r="I242" s="31">
        <v>6.1469290000000001</v>
      </c>
      <c r="J242" s="31">
        <v>1.13E-5</v>
      </c>
      <c r="K242" s="31">
        <v>6.6578999999999999E-2</v>
      </c>
      <c r="L242" s="31">
        <v>-2.5999999999999998E-4</v>
      </c>
      <c r="M242" s="31">
        <v>2.2525E-2</v>
      </c>
      <c r="N242" s="37"/>
    </row>
    <row r="243" spans="2:14" x14ac:dyDescent="0.2">
      <c r="B243" s="36"/>
      <c r="C243" s="31">
        <v>8</v>
      </c>
      <c r="D243" s="31">
        <v>120</v>
      </c>
      <c r="E243" s="31">
        <v>16</v>
      </c>
      <c r="F243" s="31" t="s">
        <v>102</v>
      </c>
      <c r="G243" s="31">
        <v>242.96029999999999</v>
      </c>
      <c r="H243" s="31">
        <v>0.16098899999999999</v>
      </c>
      <c r="I243" s="31">
        <v>6.0301280000000004</v>
      </c>
      <c r="J243" s="31">
        <v>1.9599999999999999E-5</v>
      </c>
      <c r="K243" s="31">
        <v>6.5523999999999999E-2</v>
      </c>
      <c r="L243" s="31">
        <v>-2.9E-4</v>
      </c>
      <c r="M243" s="31">
        <v>1.6369000000000002E-2</v>
      </c>
      <c r="N243" s="37"/>
    </row>
    <row r="244" spans="2:14" x14ac:dyDescent="0.2">
      <c r="B244" s="36"/>
      <c r="C244" s="31">
        <v>8</v>
      </c>
      <c r="D244" s="31">
        <v>120</v>
      </c>
      <c r="E244" s="31">
        <v>17</v>
      </c>
      <c r="F244" s="31" t="s">
        <v>103</v>
      </c>
      <c r="G244" s="31">
        <v>279.91399999999999</v>
      </c>
      <c r="H244" s="31">
        <v>0.18973100000000001</v>
      </c>
      <c r="I244" s="31">
        <v>6.1808009999999998</v>
      </c>
      <c r="J244" s="31">
        <v>1.7799999999999999E-5</v>
      </c>
      <c r="K244" s="31">
        <v>6.6279000000000005E-2</v>
      </c>
      <c r="L244" s="31">
        <v>-1.1E-4</v>
      </c>
      <c r="M244" s="31">
        <v>1.3946999999999999E-2</v>
      </c>
      <c r="N244" s="37"/>
    </row>
    <row r="245" spans="2:14" x14ac:dyDescent="0.2">
      <c r="B245" s="36"/>
      <c r="C245" s="31">
        <v>8</v>
      </c>
      <c r="D245" s="31">
        <v>120</v>
      </c>
      <c r="E245" s="31">
        <v>18</v>
      </c>
      <c r="F245" s="31" t="s">
        <v>104</v>
      </c>
      <c r="G245" s="31">
        <v>292.03579999999999</v>
      </c>
      <c r="H245" s="31">
        <v>9.1031000000000001E-2</v>
      </c>
      <c r="I245" s="31">
        <v>5.9934000000000003</v>
      </c>
      <c r="J245" s="31">
        <v>4.7800000000000003E-5</v>
      </c>
      <c r="K245" s="31">
        <v>6.2755000000000005E-2</v>
      </c>
      <c r="L245" s="31">
        <v>-3.6000000000000002E-4</v>
      </c>
      <c r="M245" s="31">
        <v>1.3653999999999999E-2</v>
      </c>
      <c r="N245" s="37"/>
    </row>
    <row r="246" spans="2:14" x14ac:dyDescent="0.2">
      <c r="B246" s="36"/>
      <c r="C246" s="31">
        <v>8</v>
      </c>
      <c r="D246" s="31">
        <v>120</v>
      </c>
      <c r="E246" s="31">
        <v>19</v>
      </c>
      <c r="F246" s="31" t="s">
        <v>105</v>
      </c>
      <c r="G246" s="31">
        <v>335.31360000000001</v>
      </c>
      <c r="H246" s="31">
        <v>5.5492E-2</v>
      </c>
      <c r="I246" s="31">
        <v>6.0779290000000001</v>
      </c>
      <c r="J246" s="31">
        <v>7.0300000000000001E-5</v>
      </c>
      <c r="K246" s="31">
        <v>6.2448999999999998E-2</v>
      </c>
      <c r="L246" s="31">
        <v>-3.5E-4</v>
      </c>
      <c r="M246" s="31">
        <v>1.2142E-2</v>
      </c>
      <c r="N246" s="37"/>
    </row>
    <row r="247" spans="2:14" x14ac:dyDescent="0.2">
      <c r="B247" s="36"/>
      <c r="C247" s="31">
        <v>8</v>
      </c>
      <c r="D247" s="31">
        <v>120</v>
      </c>
      <c r="E247" s="31">
        <v>20</v>
      </c>
      <c r="F247" s="31" t="s">
        <v>106</v>
      </c>
      <c r="G247" s="31">
        <v>348.03809999999999</v>
      </c>
      <c r="H247" s="31">
        <v>4.2062000000000002E-2</v>
      </c>
      <c r="I247" s="31">
        <v>5.8057910000000001</v>
      </c>
      <c r="J247" s="31">
        <v>7.3300000000000006E-5</v>
      </c>
      <c r="K247" s="31">
        <v>6.0936999999999998E-2</v>
      </c>
      <c r="L247" s="31">
        <v>-3.8999999999999999E-4</v>
      </c>
      <c r="M247" s="31">
        <v>1.1818E-2</v>
      </c>
      <c r="N247" s="37"/>
    </row>
    <row r="248" spans="2:14" x14ac:dyDescent="0.2">
      <c r="B248" s="36"/>
      <c r="C248" s="38"/>
      <c r="D248" s="38"/>
      <c r="E248" s="38"/>
      <c r="F248" s="38"/>
      <c r="G248" s="38"/>
      <c r="H248" s="38"/>
      <c r="I248" s="38"/>
      <c r="J248" s="38"/>
      <c r="K248" s="38"/>
      <c r="L248" s="38"/>
      <c r="M248" s="38"/>
      <c r="N248" s="37"/>
    </row>
    <row r="249" spans="2:14" x14ac:dyDescent="0.2">
      <c r="B249" s="36"/>
      <c r="C249" s="30" t="s">
        <v>119</v>
      </c>
      <c r="D249" s="30" t="s">
        <v>120</v>
      </c>
      <c r="E249" s="30"/>
      <c r="F249" s="30" t="s">
        <v>107</v>
      </c>
      <c r="G249" s="30" t="s">
        <v>115</v>
      </c>
      <c r="H249" s="30" t="s">
        <v>6</v>
      </c>
      <c r="I249" s="30" t="s">
        <v>7</v>
      </c>
      <c r="J249" s="30" t="s">
        <v>8</v>
      </c>
      <c r="K249" s="30" t="s">
        <v>9</v>
      </c>
      <c r="L249" s="30" t="s">
        <v>10</v>
      </c>
      <c r="M249" s="30" t="s">
        <v>11</v>
      </c>
      <c r="N249" s="37"/>
    </row>
    <row r="250" spans="2:14" x14ac:dyDescent="0.2">
      <c r="B250" s="36"/>
      <c r="C250" s="31">
        <v>8</v>
      </c>
      <c r="D250" s="31">
        <v>300</v>
      </c>
      <c r="E250" s="31">
        <v>1</v>
      </c>
      <c r="F250" s="31" t="s">
        <v>87</v>
      </c>
      <c r="G250" s="31">
        <v>22.381430000000002</v>
      </c>
      <c r="H250" s="31">
        <v>0.64191900000000002</v>
      </c>
      <c r="I250" s="31">
        <v>7.8799130000000002</v>
      </c>
      <c r="J250" s="31">
        <v>9.4399999999999994E-6</v>
      </c>
      <c r="K250" s="31">
        <v>2.9429E-2</v>
      </c>
      <c r="L250" s="31">
        <v>6.3500000000000004E-4</v>
      </c>
      <c r="M250" s="31">
        <v>0.156696</v>
      </c>
      <c r="N250" s="37"/>
    </row>
    <row r="251" spans="2:14" x14ac:dyDescent="0.2">
      <c r="B251" s="36"/>
      <c r="C251" s="31">
        <v>8</v>
      </c>
      <c r="D251" s="31">
        <v>300</v>
      </c>
      <c r="E251" s="31">
        <v>2</v>
      </c>
      <c r="F251" s="31" t="s">
        <v>88</v>
      </c>
      <c r="G251" s="31">
        <v>29.69182</v>
      </c>
      <c r="H251" s="31">
        <v>0.64886100000000002</v>
      </c>
      <c r="I251" s="31">
        <v>9.0018019999999996</v>
      </c>
      <c r="J251" s="31">
        <v>4.5600000000000004E-6</v>
      </c>
      <c r="K251" s="31">
        <v>2.7539000000000001E-2</v>
      </c>
      <c r="L251" s="31">
        <v>7.4200000000000004E-4</v>
      </c>
      <c r="M251" s="31">
        <v>0.13019900000000001</v>
      </c>
      <c r="N251" s="37"/>
    </row>
    <row r="252" spans="2:14" x14ac:dyDescent="0.2">
      <c r="B252" s="36"/>
      <c r="C252" s="31">
        <v>8</v>
      </c>
      <c r="D252" s="31">
        <v>300</v>
      </c>
      <c r="E252" s="31">
        <v>3</v>
      </c>
      <c r="F252" s="31" t="s">
        <v>89</v>
      </c>
      <c r="G252" s="31">
        <v>38.819200000000002</v>
      </c>
      <c r="H252" s="31">
        <v>0.67069699999999999</v>
      </c>
      <c r="I252" s="31">
        <v>9.6085630000000002</v>
      </c>
      <c r="J252" s="31">
        <v>3.45E-6</v>
      </c>
      <c r="K252" s="31">
        <v>2.4681000000000002E-2</v>
      </c>
      <c r="L252" s="31">
        <v>8.03E-4</v>
      </c>
      <c r="M252" s="31">
        <v>9.4645999999999994E-2</v>
      </c>
      <c r="N252" s="37"/>
    </row>
    <row r="253" spans="2:14" x14ac:dyDescent="0.2">
      <c r="B253" s="36"/>
      <c r="C253" s="31">
        <v>8</v>
      </c>
      <c r="D253" s="31">
        <v>300</v>
      </c>
      <c r="E253" s="31">
        <v>4</v>
      </c>
      <c r="F253" s="31" t="s">
        <v>90</v>
      </c>
      <c r="G253" s="31">
        <v>34.812809999999999</v>
      </c>
      <c r="H253" s="31">
        <v>0.65152299999999996</v>
      </c>
      <c r="I253" s="31">
        <v>6.0343960000000001</v>
      </c>
      <c r="J253" s="31">
        <v>-1.7999999999999999E-6</v>
      </c>
      <c r="K253" s="31">
        <v>3.6948000000000002E-2</v>
      </c>
      <c r="L253" s="31">
        <v>2.2550000000000001E-3</v>
      </c>
      <c r="M253" s="31">
        <v>0.12506999999999999</v>
      </c>
      <c r="N253" s="37"/>
    </row>
    <row r="254" spans="2:14" x14ac:dyDescent="0.2">
      <c r="B254" s="36"/>
      <c r="C254" s="31">
        <v>8</v>
      </c>
      <c r="D254" s="31">
        <v>300</v>
      </c>
      <c r="E254" s="31">
        <v>5</v>
      </c>
      <c r="F254" s="31" t="s">
        <v>91</v>
      </c>
      <c r="G254" s="31">
        <v>37.733429999999998</v>
      </c>
      <c r="H254" s="31">
        <v>0.638046</v>
      </c>
      <c r="I254" s="31">
        <v>6.0795659999999998</v>
      </c>
      <c r="J254" s="31">
        <v>3.8399999999999997E-6</v>
      </c>
      <c r="K254" s="31">
        <v>3.3271000000000002E-2</v>
      </c>
      <c r="L254" s="31">
        <v>1.8730000000000001E-3</v>
      </c>
      <c r="M254" s="31">
        <v>8.9452000000000004E-2</v>
      </c>
      <c r="N254" s="37"/>
    </row>
    <row r="255" spans="2:14" x14ac:dyDescent="0.2">
      <c r="B255" s="36"/>
      <c r="C255" s="31">
        <v>8</v>
      </c>
      <c r="D255" s="31">
        <v>300</v>
      </c>
      <c r="E255" s="31">
        <v>6</v>
      </c>
      <c r="F255" s="31" t="s">
        <v>92</v>
      </c>
      <c r="G255" s="31">
        <v>48.441580000000002</v>
      </c>
      <c r="H255" s="31">
        <v>0.65314499999999998</v>
      </c>
      <c r="I255" s="31">
        <v>4.5972369999999998</v>
      </c>
      <c r="J255" s="31">
        <v>2.1100000000000001E-6</v>
      </c>
      <c r="K255" s="31">
        <v>3.8741999999999999E-2</v>
      </c>
      <c r="L255" s="31">
        <v>1.7819999999999999E-3</v>
      </c>
      <c r="M255" s="31">
        <v>9.1215000000000004E-2</v>
      </c>
      <c r="N255" s="37"/>
    </row>
    <row r="256" spans="2:14" x14ac:dyDescent="0.2">
      <c r="B256" s="36"/>
      <c r="C256" s="31">
        <v>8</v>
      </c>
      <c r="D256" s="31">
        <v>300</v>
      </c>
      <c r="E256" s="31">
        <v>7</v>
      </c>
      <c r="F256" s="31" t="s">
        <v>93</v>
      </c>
      <c r="G256" s="31">
        <v>56.276310000000002</v>
      </c>
      <c r="H256" s="31">
        <v>0.57908000000000004</v>
      </c>
      <c r="I256" s="31">
        <v>6.9305050000000001</v>
      </c>
      <c r="J256" s="31">
        <v>3.5300000000000001E-6</v>
      </c>
      <c r="K256" s="31">
        <v>3.3251999999999997E-2</v>
      </c>
      <c r="L256" s="31">
        <v>1.6670000000000001E-3</v>
      </c>
      <c r="M256" s="31">
        <v>6.2272000000000001E-2</v>
      </c>
      <c r="N256" s="37"/>
    </row>
    <row r="257" spans="2:14" x14ac:dyDescent="0.2">
      <c r="B257" s="36"/>
      <c r="C257" s="31">
        <v>8</v>
      </c>
      <c r="D257" s="31">
        <v>300</v>
      </c>
      <c r="E257" s="31">
        <v>8</v>
      </c>
      <c r="F257" s="31" t="s">
        <v>94</v>
      </c>
      <c r="G257" s="31">
        <v>89.505939999999995</v>
      </c>
      <c r="H257" s="31">
        <v>0.31260700000000002</v>
      </c>
      <c r="I257" s="31">
        <v>7.4867629999999998</v>
      </c>
      <c r="J257" s="31">
        <v>5.2399999999999998E-6</v>
      </c>
      <c r="K257" s="31">
        <v>5.6257000000000001E-2</v>
      </c>
      <c r="L257" s="31">
        <v>3.6000000000000002E-4</v>
      </c>
      <c r="M257" s="31">
        <v>4.4756999999999998E-2</v>
      </c>
      <c r="N257" s="37"/>
    </row>
    <row r="258" spans="2:14" x14ac:dyDescent="0.2">
      <c r="B258" s="36"/>
      <c r="C258" s="31">
        <v>8</v>
      </c>
      <c r="D258" s="31">
        <v>300</v>
      </c>
      <c r="E258" s="31">
        <v>9</v>
      </c>
      <c r="F258" s="31" t="s">
        <v>95</v>
      </c>
      <c r="G258" s="31">
        <v>133.60749999999999</v>
      </c>
      <c r="H258" s="31">
        <v>0.50399300000000002</v>
      </c>
      <c r="I258" s="31">
        <v>5.2184359999999996</v>
      </c>
      <c r="J258" s="31">
        <v>-1.8E-5</v>
      </c>
      <c r="K258" s="31">
        <v>5.1394000000000002E-2</v>
      </c>
      <c r="L258" s="31">
        <v>6.9999999999999999E-4</v>
      </c>
      <c r="M258" s="31">
        <v>2.6738999999999999E-2</v>
      </c>
      <c r="N258" s="37"/>
    </row>
    <row r="259" spans="2:14" x14ac:dyDescent="0.2">
      <c r="B259" s="36"/>
      <c r="C259" s="31">
        <v>8</v>
      </c>
      <c r="D259" s="31">
        <v>300</v>
      </c>
      <c r="E259" s="31">
        <v>10</v>
      </c>
      <c r="F259" s="31" t="s">
        <v>96</v>
      </c>
      <c r="G259" s="31">
        <v>119.5508</v>
      </c>
      <c r="H259" s="31">
        <v>0.29774800000000001</v>
      </c>
      <c r="I259" s="31">
        <v>6.8702300000000003</v>
      </c>
      <c r="J259" s="31">
        <v>2.1299999999999999E-6</v>
      </c>
      <c r="K259" s="31">
        <v>7.0532999999999998E-2</v>
      </c>
      <c r="L259" s="31">
        <v>-2.0000000000000001E-4</v>
      </c>
      <c r="M259" s="31">
        <v>3.5064999999999999E-2</v>
      </c>
      <c r="N259" s="37"/>
    </row>
    <row r="260" spans="2:14" x14ac:dyDescent="0.2">
      <c r="B260" s="36"/>
      <c r="C260" s="31">
        <v>8</v>
      </c>
      <c r="D260" s="31">
        <v>300</v>
      </c>
      <c r="E260" s="31">
        <v>11</v>
      </c>
      <c r="F260" s="31" t="s">
        <v>97</v>
      </c>
      <c r="G260" s="31">
        <v>132.0805</v>
      </c>
      <c r="H260" s="31">
        <v>0.29038900000000001</v>
      </c>
      <c r="I260" s="31">
        <v>6.5858230000000004</v>
      </c>
      <c r="J260" s="31">
        <v>8.6000000000000007E-6</v>
      </c>
      <c r="K260" s="31">
        <v>6.8486000000000005E-2</v>
      </c>
      <c r="L260" s="31">
        <v>-1.2E-4</v>
      </c>
      <c r="M260" s="31">
        <v>3.0096000000000001E-2</v>
      </c>
      <c r="N260" s="37"/>
    </row>
    <row r="261" spans="2:14" x14ac:dyDescent="0.2">
      <c r="B261" s="36"/>
      <c r="C261" s="31">
        <v>8</v>
      </c>
      <c r="D261" s="31">
        <v>300</v>
      </c>
      <c r="E261" s="31">
        <v>12</v>
      </c>
      <c r="F261" s="31" t="s">
        <v>98</v>
      </c>
      <c r="G261" s="31">
        <v>145.97800000000001</v>
      </c>
      <c r="H261" s="31">
        <v>0.27889599999999998</v>
      </c>
      <c r="I261" s="31">
        <v>6.2276530000000001</v>
      </c>
      <c r="J261" s="31">
        <v>8.6799999999999999E-6</v>
      </c>
      <c r="K261" s="31">
        <v>6.7863999999999994E-2</v>
      </c>
      <c r="L261" s="31">
        <v>-1.4999999999999999E-4</v>
      </c>
      <c r="M261" s="31">
        <v>2.7418000000000001E-2</v>
      </c>
      <c r="N261" s="37"/>
    </row>
    <row r="262" spans="2:14" x14ac:dyDescent="0.2">
      <c r="B262" s="36"/>
      <c r="C262" s="31">
        <v>8</v>
      </c>
      <c r="D262" s="31">
        <v>300</v>
      </c>
      <c r="E262" s="31">
        <v>13</v>
      </c>
      <c r="F262" s="31" t="s">
        <v>99</v>
      </c>
      <c r="G262" s="31">
        <v>164.4562</v>
      </c>
      <c r="H262" s="31">
        <v>0.22289700000000001</v>
      </c>
      <c r="I262" s="31">
        <v>5.8240350000000003</v>
      </c>
      <c r="J262" s="31">
        <v>1.73E-5</v>
      </c>
      <c r="K262" s="31">
        <v>6.1913000000000003E-2</v>
      </c>
      <c r="L262" s="31">
        <v>-3.8000000000000002E-4</v>
      </c>
      <c r="M262" s="31">
        <v>2.4372000000000001E-2</v>
      </c>
      <c r="N262" s="37"/>
    </row>
    <row r="263" spans="2:14" x14ac:dyDescent="0.2">
      <c r="B263" s="36"/>
      <c r="C263" s="31">
        <v>8</v>
      </c>
      <c r="D263" s="31">
        <v>300</v>
      </c>
      <c r="E263" s="31">
        <v>14</v>
      </c>
      <c r="F263" s="31" t="s">
        <v>100</v>
      </c>
      <c r="G263" s="31">
        <v>185.95480000000001</v>
      </c>
      <c r="H263" s="31">
        <v>0.21882399999999999</v>
      </c>
      <c r="I263" s="31">
        <v>5.77149</v>
      </c>
      <c r="J263" s="31">
        <v>1.1600000000000001E-5</v>
      </c>
      <c r="K263" s="31">
        <v>6.6460000000000005E-2</v>
      </c>
      <c r="L263" s="31">
        <v>-2.5000000000000001E-4</v>
      </c>
      <c r="M263" s="31">
        <v>2.1377E-2</v>
      </c>
      <c r="N263" s="37"/>
    </row>
    <row r="264" spans="2:14" x14ac:dyDescent="0.2">
      <c r="B264" s="36"/>
      <c r="C264" s="31">
        <v>8</v>
      </c>
      <c r="D264" s="31">
        <v>300</v>
      </c>
      <c r="E264" s="31">
        <v>15</v>
      </c>
      <c r="F264" s="31" t="s">
        <v>101</v>
      </c>
      <c r="G264" s="31">
        <v>182.22839999999999</v>
      </c>
      <c r="H264" s="31">
        <v>0.21620900000000001</v>
      </c>
      <c r="I264" s="31">
        <v>5.770886</v>
      </c>
      <c r="J264" s="31">
        <v>1.47E-5</v>
      </c>
      <c r="K264" s="31">
        <v>6.5007999999999996E-2</v>
      </c>
      <c r="L264" s="31">
        <v>-2.7E-4</v>
      </c>
      <c r="M264" s="31">
        <v>2.2275E-2</v>
      </c>
      <c r="N264" s="37"/>
    </row>
    <row r="265" spans="2:14" x14ac:dyDescent="0.2">
      <c r="B265" s="36"/>
      <c r="C265" s="31">
        <v>8</v>
      </c>
      <c r="D265" s="31">
        <v>300</v>
      </c>
      <c r="E265" s="31">
        <v>16</v>
      </c>
      <c r="F265" s="31" t="s">
        <v>102</v>
      </c>
      <c r="G265" s="31">
        <v>246.70580000000001</v>
      </c>
      <c r="H265" s="31">
        <v>0.159216</v>
      </c>
      <c r="I265" s="31">
        <v>5.7184270000000001</v>
      </c>
      <c r="J265" s="31">
        <v>2.3600000000000001E-5</v>
      </c>
      <c r="K265" s="31">
        <v>6.429E-2</v>
      </c>
      <c r="L265" s="31">
        <v>-2.9E-4</v>
      </c>
      <c r="M265" s="31">
        <v>1.6272999999999999E-2</v>
      </c>
      <c r="N265" s="37"/>
    </row>
    <row r="266" spans="2:14" x14ac:dyDescent="0.2">
      <c r="B266" s="36"/>
      <c r="C266" s="31">
        <v>8</v>
      </c>
      <c r="D266" s="31">
        <v>300</v>
      </c>
      <c r="E266" s="31">
        <v>17</v>
      </c>
      <c r="F266" s="31" t="s">
        <v>103</v>
      </c>
      <c r="G266" s="31">
        <v>284.21440000000001</v>
      </c>
      <c r="H266" s="31">
        <v>0.18754999999999999</v>
      </c>
      <c r="I266" s="31">
        <v>5.8681729999999996</v>
      </c>
      <c r="J266" s="31">
        <v>2.16E-5</v>
      </c>
      <c r="K266" s="31">
        <v>6.5061999999999995E-2</v>
      </c>
      <c r="L266" s="31">
        <v>-1.2E-4</v>
      </c>
      <c r="M266" s="31">
        <v>1.3882E-2</v>
      </c>
      <c r="N266" s="37"/>
    </row>
    <row r="267" spans="2:14" x14ac:dyDescent="0.2">
      <c r="B267" s="36"/>
      <c r="C267" s="31">
        <v>8</v>
      </c>
      <c r="D267" s="31">
        <v>300</v>
      </c>
      <c r="E267" s="31">
        <v>18</v>
      </c>
      <c r="F267" s="31" t="s">
        <v>104</v>
      </c>
      <c r="G267" s="31">
        <v>295.88</v>
      </c>
      <c r="H267" s="31">
        <v>8.5138000000000005E-2</v>
      </c>
      <c r="I267" s="31">
        <v>5.7668140000000001</v>
      </c>
      <c r="J267" s="31">
        <v>5.5800000000000001E-5</v>
      </c>
      <c r="K267" s="31">
        <v>6.1711000000000002E-2</v>
      </c>
      <c r="L267" s="31">
        <v>-3.6000000000000002E-4</v>
      </c>
      <c r="M267" s="31">
        <v>1.3615E-2</v>
      </c>
      <c r="N267" s="37"/>
    </row>
    <row r="268" spans="2:14" x14ac:dyDescent="0.2">
      <c r="B268" s="36"/>
      <c r="C268" s="31">
        <v>8</v>
      </c>
      <c r="D268" s="31">
        <v>300</v>
      </c>
      <c r="E268" s="31">
        <v>19</v>
      </c>
      <c r="F268" s="31" t="s">
        <v>105</v>
      </c>
      <c r="G268" s="31">
        <v>339.53359999999998</v>
      </c>
      <c r="H268" s="31">
        <v>4.8769E-2</v>
      </c>
      <c r="I268" s="31">
        <v>5.8613350000000004</v>
      </c>
      <c r="J268" s="31">
        <v>8.0500000000000005E-5</v>
      </c>
      <c r="K268" s="31">
        <v>6.1447000000000002E-2</v>
      </c>
      <c r="L268" s="31">
        <v>-3.6000000000000002E-4</v>
      </c>
      <c r="M268" s="31">
        <v>1.2121E-2</v>
      </c>
      <c r="N268" s="37"/>
    </row>
    <row r="269" spans="2:14" x14ac:dyDescent="0.2">
      <c r="B269" s="36"/>
      <c r="C269" s="31">
        <v>8</v>
      </c>
      <c r="D269" s="31">
        <v>300</v>
      </c>
      <c r="E269" s="31">
        <v>20</v>
      </c>
      <c r="F269" s="31" t="s">
        <v>106</v>
      </c>
      <c r="G269" s="31">
        <v>352.19189999999998</v>
      </c>
      <c r="H269" s="31">
        <v>3.5375999999999998E-2</v>
      </c>
      <c r="I269" s="31">
        <v>5.601985</v>
      </c>
      <c r="J269" s="31">
        <v>8.3800000000000004E-5</v>
      </c>
      <c r="K269" s="31">
        <v>6.0003000000000001E-2</v>
      </c>
      <c r="L269" s="31">
        <v>-3.8999999999999999E-4</v>
      </c>
      <c r="M269" s="31">
        <v>1.1802E-2</v>
      </c>
      <c r="N269" s="37"/>
    </row>
    <row r="270" spans="2:14" x14ac:dyDescent="0.2">
      <c r="B270" s="36"/>
      <c r="C270" s="38"/>
      <c r="D270" s="38"/>
      <c r="E270" s="38"/>
      <c r="F270" s="38"/>
      <c r="G270" s="38"/>
      <c r="H270" s="38"/>
      <c r="I270" s="38"/>
      <c r="J270" s="38"/>
      <c r="K270" s="38"/>
      <c r="L270" s="38"/>
      <c r="M270" s="38"/>
      <c r="N270" s="37"/>
    </row>
    <row r="271" spans="2:14" x14ac:dyDescent="0.2">
      <c r="B271" s="36"/>
      <c r="C271" s="30" t="s">
        <v>119</v>
      </c>
      <c r="D271" s="30" t="s">
        <v>120</v>
      </c>
      <c r="E271" s="30"/>
      <c r="F271" s="30" t="s">
        <v>107</v>
      </c>
      <c r="G271" s="30" t="s">
        <v>115</v>
      </c>
      <c r="H271" s="30" t="s">
        <v>6</v>
      </c>
      <c r="I271" s="30" t="s">
        <v>7</v>
      </c>
      <c r="J271" s="30" t="s">
        <v>8</v>
      </c>
      <c r="K271" s="30" t="s">
        <v>9</v>
      </c>
      <c r="L271" s="30" t="s">
        <v>10</v>
      </c>
      <c r="M271" s="30" t="s">
        <v>11</v>
      </c>
      <c r="N271" s="37"/>
    </row>
    <row r="272" spans="2:14" x14ac:dyDescent="0.2">
      <c r="B272" s="36"/>
      <c r="C272" s="31">
        <v>10</v>
      </c>
      <c r="D272" s="31">
        <v>20</v>
      </c>
      <c r="E272" s="31">
        <v>1</v>
      </c>
      <c r="F272" s="31" t="s">
        <v>87</v>
      </c>
      <c r="G272" s="31">
        <v>22.816269999999999</v>
      </c>
      <c r="H272" s="31">
        <v>0.62731899999999996</v>
      </c>
      <c r="I272" s="31">
        <v>7.6433410000000004</v>
      </c>
      <c r="J272" s="39">
        <v>6.9199999999999998E-6</v>
      </c>
      <c r="K272" s="31">
        <v>2.8055E-2</v>
      </c>
      <c r="L272" s="31">
        <v>7.0500000000000001E-4</v>
      </c>
      <c r="M272" s="31">
        <v>0.20588999999999999</v>
      </c>
      <c r="N272" s="37"/>
    </row>
    <row r="273" spans="2:14" x14ac:dyDescent="0.2">
      <c r="B273" s="36"/>
      <c r="C273" s="31">
        <v>10</v>
      </c>
      <c r="D273" s="31">
        <v>20</v>
      </c>
      <c r="E273" s="31">
        <v>2</v>
      </c>
      <c r="F273" s="31" t="s">
        <v>88</v>
      </c>
      <c r="G273" s="31">
        <v>30.20063</v>
      </c>
      <c r="H273" s="31">
        <v>0.64485099999999995</v>
      </c>
      <c r="I273" s="31">
        <v>8.7197750000000003</v>
      </c>
      <c r="J273" s="39">
        <v>2.43E-6</v>
      </c>
      <c r="K273" s="31">
        <v>2.6478000000000002E-2</v>
      </c>
      <c r="L273" s="31">
        <v>7.94E-4</v>
      </c>
      <c r="M273" s="31">
        <v>0.163829</v>
      </c>
      <c r="N273" s="37"/>
    </row>
    <row r="274" spans="2:14" x14ac:dyDescent="0.2">
      <c r="B274" s="36"/>
      <c r="C274" s="31">
        <v>10</v>
      </c>
      <c r="D274" s="31">
        <v>20</v>
      </c>
      <c r="E274" s="31">
        <v>3</v>
      </c>
      <c r="F274" s="31" t="s">
        <v>89</v>
      </c>
      <c r="G274" s="31">
        <v>39.24362</v>
      </c>
      <c r="H274" s="31">
        <v>0.66081800000000002</v>
      </c>
      <c r="I274" s="31">
        <v>9.4731210000000008</v>
      </c>
      <c r="J274" s="39">
        <v>1.8199999999999999E-6</v>
      </c>
      <c r="K274" s="31">
        <v>2.3633000000000001E-2</v>
      </c>
      <c r="L274" s="31">
        <v>8.7100000000000003E-4</v>
      </c>
      <c r="M274" s="31">
        <v>0.12648799999999999</v>
      </c>
      <c r="N274" s="37"/>
    </row>
    <row r="275" spans="2:14" x14ac:dyDescent="0.2">
      <c r="B275" s="36"/>
      <c r="C275" s="31">
        <v>10</v>
      </c>
      <c r="D275" s="31">
        <v>20</v>
      </c>
      <c r="E275" s="31">
        <v>4</v>
      </c>
      <c r="F275" s="31" t="s">
        <v>90</v>
      </c>
      <c r="G275" s="31">
        <v>35.578310000000002</v>
      </c>
      <c r="H275" s="31">
        <v>0.66538200000000003</v>
      </c>
      <c r="I275" s="31">
        <v>5.6051250000000001</v>
      </c>
      <c r="J275" s="39">
        <v>-6.9999999999999999E-6</v>
      </c>
      <c r="K275" s="31">
        <v>3.6163000000000001E-2</v>
      </c>
      <c r="L275" s="31">
        <v>2.225E-3</v>
      </c>
      <c r="M275" s="31">
        <v>0.15031800000000001</v>
      </c>
      <c r="N275" s="37"/>
    </row>
    <row r="276" spans="2:14" x14ac:dyDescent="0.2">
      <c r="B276" s="36"/>
      <c r="C276" s="31">
        <v>10</v>
      </c>
      <c r="D276" s="31">
        <v>20</v>
      </c>
      <c r="E276" s="31">
        <v>5</v>
      </c>
      <c r="F276" s="31" t="s">
        <v>91</v>
      </c>
      <c r="G276" s="31">
        <v>38.804040000000001</v>
      </c>
      <c r="H276" s="31">
        <v>0.64807899999999996</v>
      </c>
      <c r="I276" s="31">
        <v>5.5488999999999997</v>
      </c>
      <c r="J276" s="39">
        <v>-1.7E-6</v>
      </c>
      <c r="K276" s="31">
        <v>3.2353E-2</v>
      </c>
      <c r="L276" s="31">
        <v>1.8450000000000001E-3</v>
      </c>
      <c r="M276" s="31">
        <v>0.109026</v>
      </c>
      <c r="N276" s="37"/>
    </row>
    <row r="277" spans="2:14" x14ac:dyDescent="0.2">
      <c r="B277" s="36"/>
      <c r="C277" s="31">
        <v>10</v>
      </c>
      <c r="D277" s="31">
        <v>20</v>
      </c>
      <c r="E277" s="31">
        <v>6</v>
      </c>
      <c r="F277" s="31" t="s">
        <v>92</v>
      </c>
      <c r="G277" s="31">
        <v>50.113700000000001</v>
      </c>
      <c r="H277" s="31">
        <v>0.62095100000000003</v>
      </c>
      <c r="I277" s="31">
        <v>4.9466380000000001</v>
      </c>
      <c r="J277" s="39">
        <v>-5.3000000000000001E-7</v>
      </c>
      <c r="K277" s="31">
        <v>3.8724000000000001E-2</v>
      </c>
      <c r="L277" s="31">
        <v>1.7260000000000001E-3</v>
      </c>
      <c r="M277" s="31">
        <v>0.115411</v>
      </c>
      <c r="N277" s="37"/>
    </row>
    <row r="278" spans="2:14" x14ac:dyDescent="0.2">
      <c r="B278" s="36"/>
      <c r="C278" s="31">
        <v>10</v>
      </c>
      <c r="D278" s="31">
        <v>20</v>
      </c>
      <c r="E278" s="31">
        <v>7</v>
      </c>
      <c r="F278" s="31" t="s">
        <v>93</v>
      </c>
      <c r="G278" s="31">
        <v>57.996319999999997</v>
      </c>
      <c r="H278" s="31">
        <v>0.53881500000000004</v>
      </c>
      <c r="I278" s="31">
        <v>7.2200769999999999</v>
      </c>
      <c r="J278" s="39">
        <v>3.67E-6</v>
      </c>
      <c r="K278" s="31">
        <v>3.2787999999999998E-2</v>
      </c>
      <c r="L278" s="31">
        <v>1.639E-3</v>
      </c>
      <c r="M278" s="31">
        <v>7.7110999999999999E-2</v>
      </c>
      <c r="N278" s="37"/>
    </row>
    <row r="279" spans="2:14" x14ac:dyDescent="0.2">
      <c r="B279" s="36"/>
      <c r="C279" s="31">
        <v>10</v>
      </c>
      <c r="D279" s="31">
        <v>20</v>
      </c>
      <c r="E279" s="31">
        <v>8</v>
      </c>
      <c r="F279" s="31" t="s">
        <v>94</v>
      </c>
      <c r="G279" s="31">
        <v>98.675560000000004</v>
      </c>
      <c r="H279" s="31">
        <v>0.29145900000000002</v>
      </c>
      <c r="I279" s="31">
        <v>7.4818910000000001</v>
      </c>
      <c r="J279" s="39">
        <v>-2.7999999999999999E-6</v>
      </c>
      <c r="K279" s="31">
        <v>5.1638000000000003E-2</v>
      </c>
      <c r="L279" s="31">
        <v>3.57E-4</v>
      </c>
      <c r="M279" s="31">
        <v>5.1733000000000001E-2</v>
      </c>
      <c r="N279" s="37"/>
    </row>
    <row r="280" spans="2:14" x14ac:dyDescent="0.2">
      <c r="B280" s="36"/>
      <c r="C280" s="31">
        <v>10</v>
      </c>
      <c r="D280" s="31">
        <v>20</v>
      </c>
      <c r="E280" s="31">
        <v>9</v>
      </c>
      <c r="F280" s="31" t="s">
        <v>95</v>
      </c>
      <c r="G280" s="31">
        <v>144.91630000000001</v>
      </c>
      <c r="H280" s="31">
        <v>0.48770400000000003</v>
      </c>
      <c r="I280" s="31">
        <v>4.6786009999999996</v>
      </c>
      <c r="J280" s="39">
        <v>-2.6999999999999999E-5</v>
      </c>
      <c r="K280" s="31">
        <v>4.8637E-2</v>
      </c>
      <c r="L280" s="31">
        <v>5.9800000000000001E-4</v>
      </c>
      <c r="M280" s="31">
        <v>3.1136E-2</v>
      </c>
      <c r="N280" s="37"/>
    </row>
    <row r="281" spans="2:14" x14ac:dyDescent="0.2">
      <c r="B281" s="36"/>
      <c r="C281" s="31">
        <v>10</v>
      </c>
      <c r="D281" s="31">
        <v>20</v>
      </c>
      <c r="E281" s="31">
        <v>10</v>
      </c>
      <c r="F281" s="31" t="s">
        <v>96</v>
      </c>
      <c r="G281" s="31">
        <v>128.04429999999999</v>
      </c>
      <c r="H281" s="31">
        <v>0.171373</v>
      </c>
      <c r="I281" s="31">
        <v>8.8070710000000005</v>
      </c>
      <c r="J281" s="39">
        <v>1.0200000000000001E-5</v>
      </c>
      <c r="K281" s="31">
        <v>7.4861999999999998E-2</v>
      </c>
      <c r="L281" s="31">
        <v>-5.8E-4</v>
      </c>
      <c r="M281" s="31">
        <v>4.2077000000000003E-2</v>
      </c>
      <c r="N281" s="37"/>
    </row>
    <row r="282" spans="2:14" x14ac:dyDescent="0.2">
      <c r="B282" s="36"/>
      <c r="C282" s="31">
        <v>10</v>
      </c>
      <c r="D282" s="31">
        <v>20</v>
      </c>
      <c r="E282" s="31">
        <v>11</v>
      </c>
      <c r="F282" s="31" t="s">
        <v>97</v>
      </c>
      <c r="G282" s="31">
        <v>141.19059999999999</v>
      </c>
      <c r="H282" s="31">
        <v>0.20946999999999999</v>
      </c>
      <c r="I282" s="31">
        <v>7.6360900000000003</v>
      </c>
      <c r="J282" s="39">
        <v>6.6000000000000003E-6</v>
      </c>
      <c r="K282" s="31">
        <v>7.1932999999999997E-2</v>
      </c>
      <c r="L282" s="31">
        <v>-4.6000000000000001E-4</v>
      </c>
      <c r="M282" s="31">
        <v>3.6247000000000001E-2</v>
      </c>
      <c r="N282" s="37"/>
    </row>
    <row r="283" spans="2:14" x14ac:dyDescent="0.2">
      <c r="B283" s="36"/>
      <c r="C283" s="31">
        <v>10</v>
      </c>
      <c r="D283" s="31">
        <v>20</v>
      </c>
      <c r="E283" s="31">
        <v>12</v>
      </c>
      <c r="F283" s="31" t="s">
        <v>98</v>
      </c>
      <c r="G283" s="31">
        <v>157.23480000000001</v>
      </c>
      <c r="H283" s="31">
        <v>0.208761</v>
      </c>
      <c r="I283" s="31">
        <v>7.0294860000000003</v>
      </c>
      <c r="J283" s="39">
        <v>4.8500000000000002E-6</v>
      </c>
      <c r="K283" s="31">
        <v>7.0434999999999998E-2</v>
      </c>
      <c r="L283" s="31">
        <v>-4.6000000000000001E-4</v>
      </c>
      <c r="M283" s="31">
        <v>3.2804E-2</v>
      </c>
      <c r="N283" s="37"/>
    </row>
    <row r="284" spans="2:14" x14ac:dyDescent="0.2">
      <c r="B284" s="36"/>
      <c r="C284" s="31">
        <v>10</v>
      </c>
      <c r="D284" s="31">
        <v>20</v>
      </c>
      <c r="E284" s="31">
        <v>13</v>
      </c>
      <c r="F284" s="31" t="s">
        <v>99</v>
      </c>
      <c r="G284" s="31">
        <v>181.24520000000001</v>
      </c>
      <c r="H284" s="31">
        <v>0.109501</v>
      </c>
      <c r="I284" s="31">
        <v>6.8238510000000003</v>
      </c>
      <c r="J284" s="39">
        <v>2.3799999999999999E-5</v>
      </c>
      <c r="K284" s="31">
        <v>6.4107999999999998E-2</v>
      </c>
      <c r="L284" s="31">
        <v>-6.9999999999999999E-4</v>
      </c>
      <c r="M284" s="31">
        <v>2.8923999999999998E-2</v>
      </c>
      <c r="N284" s="37"/>
    </row>
    <row r="285" spans="2:14" x14ac:dyDescent="0.2">
      <c r="B285" s="36"/>
      <c r="C285" s="31">
        <v>10</v>
      </c>
      <c r="D285" s="31">
        <v>20</v>
      </c>
      <c r="E285" s="31">
        <v>14</v>
      </c>
      <c r="F285" s="31" t="s">
        <v>100</v>
      </c>
      <c r="G285" s="31">
        <v>206.28899999999999</v>
      </c>
      <c r="H285" s="31">
        <v>0.104754</v>
      </c>
      <c r="I285" s="31">
        <v>6.7670360000000001</v>
      </c>
      <c r="J285" s="39">
        <v>2.0699999999999998E-5</v>
      </c>
      <c r="K285" s="31">
        <v>6.6994999999999999E-2</v>
      </c>
      <c r="L285" s="31">
        <v>-5.1000000000000004E-4</v>
      </c>
      <c r="M285" s="31">
        <v>2.5187000000000001E-2</v>
      </c>
      <c r="N285" s="37"/>
    </row>
    <row r="286" spans="2:14" x14ac:dyDescent="0.2">
      <c r="B286" s="36"/>
      <c r="C286" s="31">
        <v>10</v>
      </c>
      <c r="D286" s="31">
        <v>20</v>
      </c>
      <c r="E286" s="31">
        <v>15</v>
      </c>
      <c r="F286" s="31" t="s">
        <v>101</v>
      </c>
      <c r="G286" s="31">
        <v>201.3527</v>
      </c>
      <c r="H286" s="31">
        <v>0.10059899999999999</v>
      </c>
      <c r="I286" s="31">
        <v>6.7826919999999999</v>
      </c>
      <c r="J286" s="39">
        <v>2.16E-5</v>
      </c>
      <c r="K286" s="31">
        <v>6.6796999999999995E-2</v>
      </c>
      <c r="L286" s="31">
        <v>-5.6999999999999998E-4</v>
      </c>
      <c r="M286" s="31">
        <v>2.6432000000000001E-2</v>
      </c>
      <c r="N286" s="37"/>
    </row>
    <row r="287" spans="2:14" x14ac:dyDescent="0.2">
      <c r="B287" s="36"/>
      <c r="C287" s="31">
        <v>10</v>
      </c>
      <c r="D287" s="31">
        <v>20</v>
      </c>
      <c r="E287" s="31">
        <v>16</v>
      </c>
      <c r="F287" s="31" t="s">
        <v>102</v>
      </c>
      <c r="G287" s="31">
        <v>280.1225</v>
      </c>
      <c r="H287" s="31">
        <v>4.3376999999999999E-2</v>
      </c>
      <c r="I287" s="31">
        <v>6.3934179999999996</v>
      </c>
      <c r="J287" s="39">
        <v>4.2799999999999997E-5</v>
      </c>
      <c r="K287" s="31">
        <v>6.3198000000000004E-2</v>
      </c>
      <c r="L287" s="31">
        <v>-5.2999999999999998E-4</v>
      </c>
      <c r="M287" s="31">
        <v>1.8866000000000001E-2</v>
      </c>
      <c r="N287" s="37"/>
    </row>
    <row r="288" spans="2:14" x14ac:dyDescent="0.2">
      <c r="B288" s="36"/>
      <c r="C288" s="31">
        <v>10</v>
      </c>
      <c r="D288" s="31">
        <v>20</v>
      </c>
      <c r="E288" s="31">
        <v>17</v>
      </c>
      <c r="F288" s="31" t="s">
        <v>103</v>
      </c>
      <c r="G288" s="31">
        <v>321.99799999999999</v>
      </c>
      <c r="H288" s="31">
        <v>7.2113999999999998E-2</v>
      </c>
      <c r="I288" s="31">
        <v>6.5146769999999998</v>
      </c>
      <c r="J288" s="39">
        <v>4.5000000000000003E-5</v>
      </c>
      <c r="K288" s="31">
        <v>6.3405000000000003E-2</v>
      </c>
      <c r="L288" s="31">
        <v>-3.5E-4</v>
      </c>
      <c r="M288" s="31">
        <v>1.6119000000000001E-2</v>
      </c>
      <c r="N288" s="37"/>
    </row>
    <row r="289" spans="2:14" x14ac:dyDescent="0.2">
      <c r="B289" s="36"/>
      <c r="C289" s="31">
        <v>10</v>
      </c>
      <c r="D289" s="31">
        <v>20</v>
      </c>
      <c r="E289" s="31">
        <v>18</v>
      </c>
      <c r="F289" s="31" t="s">
        <v>104</v>
      </c>
      <c r="G289" s="31">
        <v>338.05459999999999</v>
      </c>
      <c r="H289" s="31">
        <v>-2.639E-2</v>
      </c>
      <c r="I289" s="31">
        <v>6.0830739999999999</v>
      </c>
      <c r="J289" s="39">
        <v>8.0400000000000003E-5</v>
      </c>
      <c r="K289" s="31">
        <v>6.0234999999999997E-2</v>
      </c>
      <c r="L289" s="31">
        <v>-5.8E-4</v>
      </c>
      <c r="M289" s="31">
        <v>1.5826E-2</v>
      </c>
      <c r="N289" s="37"/>
    </row>
    <row r="290" spans="2:14" x14ac:dyDescent="0.2">
      <c r="B290" s="36"/>
      <c r="C290" s="31">
        <v>10</v>
      </c>
      <c r="D290" s="31">
        <v>20</v>
      </c>
      <c r="E290" s="31">
        <v>19</v>
      </c>
      <c r="F290" s="31" t="s">
        <v>105</v>
      </c>
      <c r="G290" s="31">
        <v>387.59309999999999</v>
      </c>
      <c r="H290" s="31">
        <v>-6.5850000000000006E-2</v>
      </c>
      <c r="I290" s="31">
        <v>6.067933</v>
      </c>
      <c r="J290" s="31">
        <v>1.11E-4</v>
      </c>
      <c r="K290" s="31">
        <v>6.0247000000000002E-2</v>
      </c>
      <c r="L290" s="31">
        <v>-5.8E-4</v>
      </c>
      <c r="M290" s="31">
        <v>1.4208E-2</v>
      </c>
      <c r="N290" s="37"/>
    </row>
    <row r="291" spans="2:14" x14ac:dyDescent="0.2">
      <c r="B291" s="36"/>
      <c r="C291" s="31">
        <v>10</v>
      </c>
      <c r="D291" s="31">
        <v>20</v>
      </c>
      <c r="E291" s="31">
        <v>20</v>
      </c>
      <c r="F291" s="31" t="s">
        <v>106</v>
      </c>
      <c r="G291" s="31">
        <v>404.59289999999999</v>
      </c>
      <c r="H291" s="31">
        <v>-7.8960000000000002E-2</v>
      </c>
      <c r="I291" s="31">
        <v>5.7707790000000001</v>
      </c>
      <c r="J291" s="31">
        <v>1.16E-4</v>
      </c>
      <c r="K291" s="31">
        <v>5.8498000000000001E-2</v>
      </c>
      <c r="L291" s="31">
        <v>-5.9000000000000003E-4</v>
      </c>
      <c r="M291" s="31">
        <v>1.3767E-2</v>
      </c>
      <c r="N291" s="37"/>
    </row>
    <row r="292" spans="2:14" x14ac:dyDescent="0.2">
      <c r="B292" s="36"/>
      <c r="C292" s="38"/>
      <c r="D292" s="38"/>
      <c r="E292" s="38"/>
      <c r="F292" s="38"/>
      <c r="G292" s="38"/>
      <c r="H292" s="38"/>
      <c r="I292" s="38"/>
      <c r="J292" s="38"/>
      <c r="K292" s="38"/>
      <c r="L292" s="38"/>
      <c r="M292" s="38"/>
      <c r="N292" s="37"/>
    </row>
    <row r="293" spans="2:14" x14ac:dyDescent="0.2">
      <c r="B293" s="36"/>
      <c r="C293" s="30" t="s">
        <v>119</v>
      </c>
      <c r="D293" s="30" t="s">
        <v>120</v>
      </c>
      <c r="E293" s="30"/>
      <c r="F293" s="30" t="s">
        <v>107</v>
      </c>
      <c r="G293" s="30" t="s">
        <v>115</v>
      </c>
      <c r="H293" s="30" t="s">
        <v>6</v>
      </c>
      <c r="I293" s="30" t="s">
        <v>7</v>
      </c>
      <c r="J293" s="30" t="s">
        <v>8</v>
      </c>
      <c r="K293" s="30" t="s">
        <v>9</v>
      </c>
      <c r="L293" s="30" t="s">
        <v>10</v>
      </c>
      <c r="M293" s="30" t="s">
        <v>11</v>
      </c>
      <c r="N293" s="37"/>
    </row>
    <row r="294" spans="2:14" x14ac:dyDescent="0.2">
      <c r="B294" s="36"/>
      <c r="C294" s="31">
        <v>10</v>
      </c>
      <c r="D294" s="31">
        <v>120</v>
      </c>
      <c r="E294" s="31">
        <v>1</v>
      </c>
      <c r="F294" s="31" t="s">
        <v>87</v>
      </c>
      <c r="G294" s="31">
        <v>22.815539999999999</v>
      </c>
      <c r="H294" s="31">
        <v>0.62743499999999996</v>
      </c>
      <c r="I294" s="31">
        <v>7.4965400000000004</v>
      </c>
      <c r="J294" s="39">
        <v>6.1E-6</v>
      </c>
      <c r="K294" s="31">
        <v>2.8570999999999999E-2</v>
      </c>
      <c r="L294" s="31">
        <v>6.6E-4</v>
      </c>
      <c r="M294" s="31">
        <v>0.210537</v>
      </c>
      <c r="N294" s="37"/>
    </row>
    <row r="295" spans="2:14" x14ac:dyDescent="0.2">
      <c r="B295" s="36"/>
      <c r="C295" s="31">
        <v>10</v>
      </c>
      <c r="D295" s="31">
        <v>120</v>
      </c>
      <c r="E295" s="31">
        <v>2</v>
      </c>
      <c r="F295" s="31" t="s">
        <v>88</v>
      </c>
      <c r="G295" s="31">
        <v>30.205079999999999</v>
      </c>
      <c r="H295" s="31">
        <v>0.64361900000000005</v>
      </c>
      <c r="I295" s="31">
        <v>8.6050989999999992</v>
      </c>
      <c r="J295" s="39">
        <v>1.81E-6</v>
      </c>
      <c r="K295" s="31">
        <v>2.6853999999999999E-2</v>
      </c>
      <c r="L295" s="31">
        <v>7.6099999999999996E-4</v>
      </c>
      <c r="M295" s="31">
        <v>0.16781099999999999</v>
      </c>
      <c r="N295" s="37"/>
    </row>
    <row r="296" spans="2:14" x14ac:dyDescent="0.2">
      <c r="B296" s="36"/>
      <c r="C296" s="31">
        <v>10</v>
      </c>
      <c r="D296" s="31">
        <v>120</v>
      </c>
      <c r="E296" s="31">
        <v>3</v>
      </c>
      <c r="F296" s="31" t="s">
        <v>89</v>
      </c>
      <c r="G296" s="31">
        <v>39.280520000000003</v>
      </c>
      <c r="H296" s="31">
        <v>0.659219</v>
      </c>
      <c r="I296" s="31">
        <v>9.3415660000000003</v>
      </c>
      <c r="J296" s="39">
        <v>1.17E-6</v>
      </c>
      <c r="K296" s="31">
        <v>2.4045E-2</v>
      </c>
      <c r="L296" s="31">
        <v>8.3299999999999997E-4</v>
      </c>
      <c r="M296" s="31">
        <v>0.129886</v>
      </c>
      <c r="N296" s="37"/>
    </row>
    <row r="297" spans="2:14" x14ac:dyDescent="0.2">
      <c r="B297" s="36"/>
      <c r="C297" s="31">
        <v>10</v>
      </c>
      <c r="D297" s="31">
        <v>120</v>
      </c>
      <c r="E297" s="31">
        <v>4</v>
      </c>
      <c r="F297" s="31" t="s">
        <v>90</v>
      </c>
      <c r="G297" s="31">
        <v>35.772190000000002</v>
      </c>
      <c r="H297" s="31">
        <v>0.65910800000000003</v>
      </c>
      <c r="I297" s="31">
        <v>5.5992249999999997</v>
      </c>
      <c r="J297" s="39">
        <v>-6.6000000000000003E-6</v>
      </c>
      <c r="K297" s="31">
        <v>3.5853999999999997E-2</v>
      </c>
      <c r="L297" s="31">
        <v>2.2190000000000001E-3</v>
      </c>
      <c r="M297" s="31">
        <v>0.15043000000000001</v>
      </c>
      <c r="N297" s="37"/>
    </row>
    <row r="298" spans="2:14" x14ac:dyDescent="0.2">
      <c r="B298" s="36"/>
      <c r="C298" s="31">
        <v>10</v>
      </c>
      <c r="D298" s="31">
        <v>120</v>
      </c>
      <c r="E298" s="31">
        <v>5</v>
      </c>
      <c r="F298" s="31" t="s">
        <v>91</v>
      </c>
      <c r="G298" s="31">
        <v>38.895049999999998</v>
      </c>
      <c r="H298" s="31">
        <v>0.64529999999999998</v>
      </c>
      <c r="I298" s="31">
        <v>5.4999039999999999</v>
      </c>
      <c r="J298" s="39">
        <v>-1.7E-6</v>
      </c>
      <c r="K298" s="31">
        <v>3.2330999999999999E-2</v>
      </c>
      <c r="L298" s="31">
        <v>1.833E-3</v>
      </c>
      <c r="M298" s="31">
        <v>0.10986899999999999</v>
      </c>
      <c r="N298" s="37"/>
    </row>
    <row r="299" spans="2:14" x14ac:dyDescent="0.2">
      <c r="B299" s="36"/>
      <c r="C299" s="31">
        <v>10</v>
      </c>
      <c r="D299" s="31">
        <v>120</v>
      </c>
      <c r="E299" s="31">
        <v>6</v>
      </c>
      <c r="F299" s="31" t="s">
        <v>92</v>
      </c>
      <c r="G299" s="31">
        <v>50.114400000000003</v>
      </c>
      <c r="H299" s="31">
        <v>0.62123600000000001</v>
      </c>
      <c r="I299" s="31">
        <v>4.8433719999999996</v>
      </c>
      <c r="J299" s="39">
        <v>-1.3E-7</v>
      </c>
      <c r="K299" s="31">
        <v>3.8262999999999998E-2</v>
      </c>
      <c r="L299" s="31">
        <v>1.738E-3</v>
      </c>
      <c r="M299" s="31">
        <v>0.117116</v>
      </c>
      <c r="N299" s="37"/>
    </row>
    <row r="300" spans="2:14" x14ac:dyDescent="0.2">
      <c r="B300" s="36"/>
      <c r="C300" s="31">
        <v>10</v>
      </c>
      <c r="D300" s="31">
        <v>120</v>
      </c>
      <c r="E300" s="31">
        <v>7</v>
      </c>
      <c r="F300" s="31" t="s">
        <v>93</v>
      </c>
      <c r="G300" s="31">
        <v>58.349710000000002</v>
      </c>
      <c r="H300" s="31">
        <v>0.53703599999999996</v>
      </c>
      <c r="I300" s="31">
        <v>7.115011</v>
      </c>
      <c r="J300" s="39">
        <v>4.16E-6</v>
      </c>
      <c r="K300" s="31">
        <v>3.2142999999999998E-2</v>
      </c>
      <c r="L300" s="31">
        <v>1.645E-3</v>
      </c>
      <c r="M300" s="31">
        <v>7.6913999999999996E-2</v>
      </c>
      <c r="N300" s="37"/>
    </row>
    <row r="301" spans="2:14" x14ac:dyDescent="0.2">
      <c r="B301" s="36"/>
      <c r="C301" s="31">
        <v>10</v>
      </c>
      <c r="D301" s="31">
        <v>120</v>
      </c>
      <c r="E301" s="31">
        <v>8</v>
      </c>
      <c r="F301" s="31" t="s">
        <v>94</v>
      </c>
      <c r="G301" s="31">
        <v>99.124049999999997</v>
      </c>
      <c r="H301" s="31">
        <v>0.29388999999999998</v>
      </c>
      <c r="I301" s="31">
        <v>7.3155530000000004</v>
      </c>
      <c r="J301" s="39">
        <v>-2.6000000000000001E-6</v>
      </c>
      <c r="K301" s="31">
        <v>5.0960999999999999E-2</v>
      </c>
      <c r="L301" s="31">
        <v>3.68E-4</v>
      </c>
      <c r="M301" s="31">
        <v>5.1687999999999998E-2</v>
      </c>
      <c r="N301" s="37"/>
    </row>
    <row r="302" spans="2:14" x14ac:dyDescent="0.2">
      <c r="B302" s="36"/>
      <c r="C302" s="31">
        <v>10</v>
      </c>
      <c r="D302" s="31">
        <v>120</v>
      </c>
      <c r="E302" s="31">
        <v>9</v>
      </c>
      <c r="F302" s="31" t="s">
        <v>95</v>
      </c>
      <c r="G302" s="31">
        <v>145.61070000000001</v>
      </c>
      <c r="H302" s="31">
        <v>0.48478599999999999</v>
      </c>
      <c r="I302" s="31">
        <v>4.630706</v>
      </c>
      <c r="J302" s="39">
        <v>-2.6999999999999999E-5</v>
      </c>
      <c r="K302" s="31">
        <v>4.8332E-2</v>
      </c>
      <c r="L302" s="31">
        <v>5.9599999999999996E-4</v>
      </c>
      <c r="M302" s="31">
        <v>3.1092000000000002E-2</v>
      </c>
      <c r="N302" s="37"/>
    </row>
    <row r="303" spans="2:14" x14ac:dyDescent="0.2">
      <c r="B303" s="36"/>
      <c r="C303" s="31">
        <v>10</v>
      </c>
      <c r="D303" s="31">
        <v>120</v>
      </c>
      <c r="E303" s="31">
        <v>10</v>
      </c>
      <c r="F303" s="31" t="s">
        <v>96</v>
      </c>
      <c r="G303" s="31">
        <v>132.12389999999999</v>
      </c>
      <c r="H303" s="31">
        <v>0.18551899999999999</v>
      </c>
      <c r="I303" s="31">
        <v>7.9305120000000002</v>
      </c>
      <c r="J303" s="39">
        <v>1.17E-5</v>
      </c>
      <c r="K303" s="31">
        <v>6.9351999999999997E-2</v>
      </c>
      <c r="L303" s="31">
        <v>-4.0000000000000002E-4</v>
      </c>
      <c r="M303" s="31">
        <v>4.1549999999999997E-2</v>
      </c>
      <c r="N303" s="37"/>
    </row>
    <row r="304" spans="2:14" x14ac:dyDescent="0.2">
      <c r="B304" s="36"/>
      <c r="C304" s="31">
        <v>10</v>
      </c>
      <c r="D304" s="31">
        <v>120</v>
      </c>
      <c r="E304" s="31">
        <v>11</v>
      </c>
      <c r="F304" s="31" t="s">
        <v>97</v>
      </c>
      <c r="G304" s="31">
        <v>145.1345</v>
      </c>
      <c r="H304" s="31">
        <v>0.21772</v>
      </c>
      <c r="I304" s="31">
        <v>6.9989129999999999</v>
      </c>
      <c r="J304" s="39">
        <v>8.3899999999999993E-6</v>
      </c>
      <c r="K304" s="31">
        <v>6.7353999999999997E-2</v>
      </c>
      <c r="L304" s="31">
        <v>-3.1E-4</v>
      </c>
      <c r="M304" s="31">
        <v>3.5692000000000002E-2</v>
      </c>
      <c r="N304" s="37"/>
    </row>
    <row r="305" spans="2:14" x14ac:dyDescent="0.2">
      <c r="B305" s="36"/>
      <c r="C305" s="31">
        <v>10</v>
      </c>
      <c r="D305" s="31">
        <v>120</v>
      </c>
      <c r="E305" s="31">
        <v>12</v>
      </c>
      <c r="F305" s="31" t="s">
        <v>98</v>
      </c>
      <c r="G305" s="31">
        <v>161.4171</v>
      </c>
      <c r="H305" s="31">
        <v>0.214724</v>
      </c>
      <c r="I305" s="31">
        <v>6.4779809999999998</v>
      </c>
      <c r="J305" s="39">
        <v>6.9E-6</v>
      </c>
      <c r="K305" s="31">
        <v>6.6183000000000006E-2</v>
      </c>
      <c r="L305" s="31">
        <v>-3.3E-4</v>
      </c>
      <c r="M305" s="31">
        <v>3.2303999999999999E-2</v>
      </c>
      <c r="N305" s="37"/>
    </row>
    <row r="306" spans="2:14" x14ac:dyDescent="0.2">
      <c r="B306" s="36"/>
      <c r="C306" s="31">
        <v>10</v>
      </c>
      <c r="D306" s="31">
        <v>120</v>
      </c>
      <c r="E306" s="31">
        <v>13</v>
      </c>
      <c r="F306" s="31" t="s">
        <v>99</v>
      </c>
      <c r="G306" s="31">
        <v>185.416</v>
      </c>
      <c r="H306" s="31">
        <v>0.11404499999999999</v>
      </c>
      <c r="I306" s="31">
        <v>6.3568160000000002</v>
      </c>
      <c r="J306" s="39">
        <v>2.76E-5</v>
      </c>
      <c r="K306" s="31">
        <v>6.0423999999999999E-2</v>
      </c>
      <c r="L306" s="31">
        <v>-5.6999999999999998E-4</v>
      </c>
      <c r="M306" s="31">
        <v>2.8577000000000002E-2</v>
      </c>
      <c r="N306" s="37"/>
    </row>
    <row r="307" spans="2:14" x14ac:dyDescent="0.2">
      <c r="B307" s="36"/>
      <c r="C307" s="31">
        <v>10</v>
      </c>
      <c r="D307" s="31">
        <v>120</v>
      </c>
      <c r="E307" s="31">
        <v>14</v>
      </c>
      <c r="F307" s="31" t="s">
        <v>100</v>
      </c>
      <c r="G307" s="31">
        <v>210.8751</v>
      </c>
      <c r="H307" s="31">
        <v>0.10877100000000001</v>
      </c>
      <c r="I307" s="31">
        <v>6.3251429999999997</v>
      </c>
      <c r="J307" s="39">
        <v>2.4199999999999999E-5</v>
      </c>
      <c r="K307" s="31">
        <v>6.3541E-2</v>
      </c>
      <c r="L307" s="31">
        <v>-3.8999999999999999E-4</v>
      </c>
      <c r="M307" s="31">
        <v>2.4898E-2</v>
      </c>
      <c r="N307" s="37"/>
    </row>
    <row r="308" spans="2:14" x14ac:dyDescent="0.2">
      <c r="B308" s="36"/>
      <c r="C308" s="31">
        <v>10</v>
      </c>
      <c r="D308" s="31">
        <v>120</v>
      </c>
      <c r="E308" s="31">
        <v>15</v>
      </c>
      <c r="F308" s="31" t="s">
        <v>101</v>
      </c>
      <c r="G308" s="31">
        <v>205.93879999999999</v>
      </c>
      <c r="H308" s="31">
        <v>0.10565099999999999</v>
      </c>
      <c r="I308" s="31">
        <v>6.3241649999999998</v>
      </c>
      <c r="J308" s="39">
        <v>2.5000000000000001E-5</v>
      </c>
      <c r="K308" s="31">
        <v>6.3156000000000004E-2</v>
      </c>
      <c r="L308" s="31">
        <v>-4.4000000000000002E-4</v>
      </c>
      <c r="M308" s="31">
        <v>2.6100999999999999E-2</v>
      </c>
      <c r="N308" s="37"/>
    </row>
    <row r="309" spans="2:14" x14ac:dyDescent="0.2">
      <c r="B309" s="36"/>
      <c r="C309" s="31">
        <v>10</v>
      </c>
      <c r="D309" s="31">
        <v>120</v>
      </c>
      <c r="E309" s="31">
        <v>16</v>
      </c>
      <c r="F309" s="31" t="s">
        <v>102</v>
      </c>
      <c r="G309" s="31">
        <v>285.4486</v>
      </c>
      <c r="H309" s="31">
        <v>4.4214000000000003E-2</v>
      </c>
      <c r="I309" s="31">
        <v>6.0328809999999997</v>
      </c>
      <c r="J309" s="39">
        <v>4.8600000000000002E-5</v>
      </c>
      <c r="K309" s="31">
        <v>6.0379000000000002E-2</v>
      </c>
      <c r="L309" s="31">
        <v>-4.2999999999999999E-4</v>
      </c>
      <c r="M309" s="31">
        <v>1.8735999999999999E-2</v>
      </c>
      <c r="N309" s="37"/>
    </row>
    <row r="310" spans="2:14" x14ac:dyDescent="0.2">
      <c r="B310" s="36"/>
      <c r="C310" s="31">
        <v>10</v>
      </c>
      <c r="D310" s="31">
        <v>120</v>
      </c>
      <c r="E310" s="31">
        <v>17</v>
      </c>
      <c r="F310" s="31" t="s">
        <v>103</v>
      </c>
      <c r="G310" s="31">
        <v>327.9357</v>
      </c>
      <c r="H310" s="31">
        <v>7.1027000000000007E-2</v>
      </c>
      <c r="I310" s="31">
        <v>6.1767339999999997</v>
      </c>
      <c r="J310" s="39">
        <v>5.1400000000000003E-5</v>
      </c>
      <c r="K310" s="31">
        <v>6.0765E-2</v>
      </c>
      <c r="L310" s="31">
        <v>-2.5999999999999998E-4</v>
      </c>
      <c r="M310" s="31">
        <v>1.6034E-2</v>
      </c>
      <c r="N310" s="37"/>
    </row>
    <row r="311" spans="2:14" x14ac:dyDescent="0.2">
      <c r="B311" s="36"/>
      <c r="C311" s="31">
        <v>10</v>
      </c>
      <c r="D311" s="31">
        <v>120</v>
      </c>
      <c r="E311" s="31">
        <v>18</v>
      </c>
      <c r="F311" s="31" t="s">
        <v>104</v>
      </c>
      <c r="G311" s="31">
        <v>343.5652</v>
      </c>
      <c r="H311" s="31">
        <v>-2.6540000000000001E-2</v>
      </c>
      <c r="I311" s="31">
        <v>5.7729790000000003</v>
      </c>
      <c r="J311" s="39">
        <v>8.8399999999999994E-5</v>
      </c>
      <c r="K311" s="31">
        <v>5.7879E-2</v>
      </c>
      <c r="L311" s="31">
        <v>-4.8999999999999998E-4</v>
      </c>
      <c r="M311" s="31">
        <v>1.5762000000000002E-2</v>
      </c>
      <c r="N311" s="37"/>
    </row>
    <row r="312" spans="2:14" x14ac:dyDescent="0.2">
      <c r="B312" s="36"/>
      <c r="C312" s="31">
        <v>10</v>
      </c>
      <c r="D312" s="31">
        <v>120</v>
      </c>
      <c r="E312" s="31">
        <v>19</v>
      </c>
      <c r="F312" s="31" t="s">
        <v>105</v>
      </c>
      <c r="G312" s="31">
        <v>393.63010000000003</v>
      </c>
      <c r="H312" s="31">
        <v>-6.5579999999999999E-2</v>
      </c>
      <c r="I312" s="31">
        <v>5.7617099999999999</v>
      </c>
      <c r="J312" s="31">
        <v>1.2E-4</v>
      </c>
      <c r="K312" s="31">
        <v>5.8006000000000002E-2</v>
      </c>
      <c r="L312" s="31">
        <v>-5.0000000000000001E-4</v>
      </c>
      <c r="M312" s="31">
        <v>1.4167000000000001E-2</v>
      </c>
      <c r="N312" s="37"/>
    </row>
    <row r="313" spans="2:14" x14ac:dyDescent="0.2">
      <c r="B313" s="36"/>
      <c r="C313" s="31">
        <v>10</v>
      </c>
      <c r="D313" s="31">
        <v>120</v>
      </c>
      <c r="E313" s="31">
        <v>20</v>
      </c>
      <c r="F313" s="31" t="s">
        <v>106</v>
      </c>
      <c r="G313" s="31">
        <v>410.59809999999999</v>
      </c>
      <c r="H313" s="31">
        <v>-7.8810000000000005E-2</v>
      </c>
      <c r="I313" s="31">
        <v>5.4814410000000002</v>
      </c>
      <c r="J313" s="31">
        <v>1.26E-4</v>
      </c>
      <c r="K313" s="31">
        <v>5.6376999999999997E-2</v>
      </c>
      <c r="L313" s="31">
        <v>-5.1999999999999995E-4</v>
      </c>
      <c r="M313" s="31">
        <v>1.3731999999999999E-2</v>
      </c>
      <c r="N313" s="37"/>
    </row>
    <row r="314" spans="2:14" x14ac:dyDescent="0.2">
      <c r="B314" s="36"/>
      <c r="C314" s="38"/>
      <c r="D314" s="38"/>
      <c r="E314" s="38"/>
      <c r="F314" s="38"/>
      <c r="G314" s="38"/>
      <c r="H314" s="38"/>
      <c r="I314" s="38"/>
      <c r="J314" s="38"/>
      <c r="K314" s="38"/>
      <c r="L314" s="38"/>
      <c r="M314" s="38"/>
      <c r="N314" s="37"/>
    </row>
    <row r="315" spans="2:14" x14ac:dyDescent="0.2">
      <c r="B315" s="36"/>
      <c r="C315" s="30" t="s">
        <v>119</v>
      </c>
      <c r="D315" s="30" t="s">
        <v>120</v>
      </c>
      <c r="E315" s="30"/>
      <c r="F315" s="30" t="s">
        <v>107</v>
      </c>
      <c r="G315" s="30" t="s">
        <v>115</v>
      </c>
      <c r="H315" s="30" t="s">
        <v>6</v>
      </c>
      <c r="I315" s="30" t="s">
        <v>7</v>
      </c>
      <c r="J315" s="30" t="s">
        <v>8</v>
      </c>
      <c r="K315" s="30" t="s">
        <v>9</v>
      </c>
      <c r="L315" s="30" t="s">
        <v>10</v>
      </c>
      <c r="M315" s="30" t="s">
        <v>11</v>
      </c>
      <c r="N315" s="37"/>
    </row>
    <row r="316" spans="2:14" x14ac:dyDescent="0.2">
      <c r="B316" s="36"/>
      <c r="C316" s="31">
        <v>10</v>
      </c>
      <c r="D316" s="31">
        <v>300</v>
      </c>
      <c r="E316" s="31">
        <v>1</v>
      </c>
      <c r="F316" s="31" t="s">
        <v>87</v>
      </c>
      <c r="G316" s="40">
        <v>22.830760000000001</v>
      </c>
      <c r="H316" s="31">
        <v>0.61824599999999996</v>
      </c>
      <c r="I316" s="31">
        <v>7.3051599999999999</v>
      </c>
      <c r="J316" s="39">
        <v>5.5400000000000003E-6</v>
      </c>
      <c r="K316" s="31">
        <v>2.8754999999999999E-2</v>
      </c>
      <c r="L316" s="31">
        <v>6.3199999999999997E-4</v>
      </c>
      <c r="M316" s="41">
        <v>0.22561600000000001</v>
      </c>
      <c r="N316" s="37"/>
    </row>
    <row r="317" spans="2:14" x14ac:dyDescent="0.2">
      <c r="B317" s="36"/>
      <c r="C317" s="31">
        <v>10</v>
      </c>
      <c r="D317" s="31">
        <v>300</v>
      </c>
      <c r="E317" s="31">
        <v>2</v>
      </c>
      <c r="F317" s="31" t="s">
        <v>88</v>
      </c>
      <c r="G317" s="40">
        <v>30.358689999999999</v>
      </c>
      <c r="H317" s="31">
        <v>0.632992</v>
      </c>
      <c r="I317" s="31">
        <v>8.3793600000000001</v>
      </c>
      <c r="J317" s="39">
        <v>1.15E-6</v>
      </c>
      <c r="K317" s="31">
        <v>2.6950000000000002E-2</v>
      </c>
      <c r="L317" s="31">
        <v>7.3099999999999999E-4</v>
      </c>
      <c r="M317" s="41">
        <v>0.178449</v>
      </c>
      <c r="N317" s="37"/>
    </row>
    <row r="318" spans="2:14" x14ac:dyDescent="0.2">
      <c r="B318" s="36"/>
      <c r="C318" s="31">
        <v>10</v>
      </c>
      <c r="D318" s="31">
        <v>300</v>
      </c>
      <c r="E318" s="31">
        <v>3</v>
      </c>
      <c r="F318" s="31" t="s">
        <v>89</v>
      </c>
      <c r="G318" s="40">
        <v>39.545729999999999</v>
      </c>
      <c r="H318" s="31">
        <v>0.64859500000000003</v>
      </c>
      <c r="I318" s="31">
        <v>9.0479409999999998</v>
      </c>
      <c r="J318" s="39">
        <v>1.8900000000000001E-7</v>
      </c>
      <c r="K318" s="31">
        <v>2.4288000000000001E-2</v>
      </c>
      <c r="L318" s="31">
        <v>7.8899999999999999E-4</v>
      </c>
      <c r="M318" s="41">
        <v>0.13924</v>
      </c>
      <c r="N318" s="37"/>
    </row>
    <row r="319" spans="2:14" x14ac:dyDescent="0.2">
      <c r="B319" s="36"/>
      <c r="C319" s="31">
        <v>10</v>
      </c>
      <c r="D319" s="31">
        <v>300</v>
      </c>
      <c r="E319" s="31">
        <v>4</v>
      </c>
      <c r="F319" s="31" t="s">
        <v>90</v>
      </c>
      <c r="G319" s="40">
        <v>36.314169999999997</v>
      </c>
      <c r="H319" s="31">
        <v>0.64370099999999997</v>
      </c>
      <c r="I319" s="31">
        <v>5.521223</v>
      </c>
      <c r="J319" s="39">
        <v>-5.5999999999999997E-6</v>
      </c>
      <c r="K319" s="31">
        <v>3.5194000000000003E-2</v>
      </c>
      <c r="L319" s="31">
        <v>2.189E-3</v>
      </c>
      <c r="M319" s="41">
        <v>0.150954</v>
      </c>
      <c r="N319" s="37"/>
    </row>
    <row r="320" spans="2:14" x14ac:dyDescent="0.2">
      <c r="B320" s="36"/>
      <c r="C320" s="31">
        <v>10</v>
      </c>
      <c r="D320" s="31">
        <v>300</v>
      </c>
      <c r="E320" s="31">
        <v>5</v>
      </c>
      <c r="F320" s="31" t="s">
        <v>91</v>
      </c>
      <c r="G320" s="40">
        <v>39.302010000000003</v>
      </c>
      <c r="H320" s="31">
        <v>0.62931599999999999</v>
      </c>
      <c r="I320" s="31">
        <v>5.4741720000000003</v>
      </c>
      <c r="J320" s="39">
        <v>-2.9999999999999999E-7</v>
      </c>
      <c r="K320" s="31">
        <v>3.1918000000000002E-2</v>
      </c>
      <c r="L320" s="31">
        <v>1.8129999999999999E-3</v>
      </c>
      <c r="M320" s="41">
        <v>0.11181099999999999</v>
      </c>
      <c r="N320" s="37"/>
    </row>
    <row r="321" spans="2:14" x14ac:dyDescent="0.2">
      <c r="B321" s="36"/>
      <c r="C321" s="31">
        <v>10</v>
      </c>
      <c r="D321" s="31">
        <v>300</v>
      </c>
      <c r="E321" s="31">
        <v>6</v>
      </c>
      <c r="F321" s="31" t="s">
        <v>92</v>
      </c>
      <c r="G321" s="40">
        <v>50.515509999999999</v>
      </c>
      <c r="H321" s="31">
        <v>0.61550300000000002</v>
      </c>
      <c r="I321" s="31">
        <v>4.6718970000000004</v>
      </c>
      <c r="J321" s="39">
        <v>1.04E-6</v>
      </c>
      <c r="K321" s="31">
        <v>3.7671999999999997E-2</v>
      </c>
      <c r="L321" s="31">
        <v>1.7149999999999999E-3</v>
      </c>
      <c r="M321" s="41">
        <v>0.11844300000000001</v>
      </c>
      <c r="N321" s="37"/>
    </row>
    <row r="322" spans="2:14" x14ac:dyDescent="0.2">
      <c r="B322" s="36"/>
      <c r="C322" s="31">
        <v>10</v>
      </c>
      <c r="D322" s="31">
        <v>300</v>
      </c>
      <c r="E322" s="31">
        <v>7</v>
      </c>
      <c r="F322" s="31" t="s">
        <v>93</v>
      </c>
      <c r="G322" s="40">
        <v>59.111820000000002</v>
      </c>
      <c r="H322" s="31">
        <v>0.53488800000000003</v>
      </c>
      <c r="I322" s="31">
        <v>6.8549569999999997</v>
      </c>
      <c r="J322" s="39">
        <v>4.9599999999999999E-6</v>
      </c>
      <c r="K322" s="31">
        <v>3.1510000000000003E-2</v>
      </c>
      <c r="L322" s="31">
        <v>1.6130000000000001E-3</v>
      </c>
      <c r="M322" s="41">
        <v>7.6258999999999993E-2</v>
      </c>
      <c r="N322" s="37"/>
    </row>
    <row r="323" spans="2:14" x14ac:dyDescent="0.2">
      <c r="B323" s="36"/>
      <c r="C323" s="31">
        <v>10</v>
      </c>
      <c r="D323" s="31">
        <v>300</v>
      </c>
      <c r="E323" s="31">
        <v>8</v>
      </c>
      <c r="F323" s="31" t="s">
        <v>94</v>
      </c>
      <c r="G323" s="40">
        <v>100.86669999999999</v>
      </c>
      <c r="H323" s="31">
        <v>0.29395700000000002</v>
      </c>
      <c r="I323" s="31">
        <v>6.8771319999999996</v>
      </c>
      <c r="J323" s="39">
        <v>-6.1999999999999999E-7</v>
      </c>
      <c r="K323" s="31">
        <v>4.9736000000000002E-2</v>
      </c>
      <c r="L323" s="31">
        <v>3.3599999999999998E-4</v>
      </c>
      <c r="M323" s="41">
        <v>5.1312999999999998E-2</v>
      </c>
      <c r="N323" s="37"/>
    </row>
    <row r="324" spans="2:14" x14ac:dyDescent="0.2">
      <c r="B324" s="36"/>
      <c r="C324" s="31">
        <v>10</v>
      </c>
      <c r="D324" s="31">
        <v>300</v>
      </c>
      <c r="E324" s="31">
        <v>9</v>
      </c>
      <c r="F324" s="31" t="s">
        <v>95</v>
      </c>
      <c r="G324" s="40">
        <v>147.57509999999999</v>
      </c>
      <c r="H324" s="31">
        <v>0.47831200000000001</v>
      </c>
      <c r="I324" s="31">
        <v>4.4645400000000004</v>
      </c>
      <c r="J324" s="39">
        <v>-2.5999999999999998E-5</v>
      </c>
      <c r="K324" s="31">
        <v>4.7697999999999997E-2</v>
      </c>
      <c r="L324" s="31">
        <v>5.7700000000000004E-4</v>
      </c>
      <c r="M324" s="41">
        <v>3.0939000000000001E-2</v>
      </c>
      <c r="N324" s="37"/>
    </row>
    <row r="325" spans="2:14" x14ac:dyDescent="0.2">
      <c r="B325" s="36"/>
      <c r="C325" s="31">
        <v>10</v>
      </c>
      <c r="D325" s="31">
        <v>300</v>
      </c>
      <c r="E325" s="31">
        <v>10</v>
      </c>
      <c r="F325" s="31" t="s">
        <v>96</v>
      </c>
      <c r="G325" s="40">
        <v>135.4435</v>
      </c>
      <c r="H325" s="31">
        <v>0.19347700000000001</v>
      </c>
      <c r="I325" s="31">
        <v>7.168291</v>
      </c>
      <c r="J325" s="39">
        <v>1.3699999999999999E-5</v>
      </c>
      <c r="K325" s="31">
        <v>6.7230999999999999E-2</v>
      </c>
      <c r="L325" s="31">
        <v>-4.2000000000000002E-4</v>
      </c>
      <c r="M325" s="41">
        <v>4.1229000000000002E-2</v>
      </c>
      <c r="N325" s="37"/>
    </row>
    <row r="326" spans="2:14" x14ac:dyDescent="0.2">
      <c r="B326" s="36"/>
      <c r="C326" s="31">
        <v>10</v>
      </c>
      <c r="D326" s="31">
        <v>300</v>
      </c>
      <c r="E326" s="31">
        <v>11</v>
      </c>
      <c r="F326" s="31" t="s">
        <v>97</v>
      </c>
      <c r="G326" s="40">
        <v>148.43709999999999</v>
      </c>
      <c r="H326" s="31">
        <v>0.221801</v>
      </c>
      <c r="I326" s="31">
        <v>6.4263779999999997</v>
      </c>
      <c r="J326" s="39">
        <v>1.06E-5</v>
      </c>
      <c r="K326" s="31">
        <v>6.5481999999999999E-2</v>
      </c>
      <c r="L326" s="31">
        <v>-3.3E-4</v>
      </c>
      <c r="M326" s="41">
        <v>3.5283000000000002E-2</v>
      </c>
      <c r="N326" s="37"/>
    </row>
    <row r="327" spans="2:14" x14ac:dyDescent="0.2">
      <c r="B327" s="36"/>
      <c r="C327" s="31">
        <v>10</v>
      </c>
      <c r="D327" s="31">
        <v>300</v>
      </c>
      <c r="E327" s="31">
        <v>12</v>
      </c>
      <c r="F327" s="31" t="s">
        <v>98</v>
      </c>
      <c r="G327" s="40">
        <v>164.88849999999999</v>
      </c>
      <c r="H327" s="31">
        <v>0.21746299999999999</v>
      </c>
      <c r="I327" s="31">
        <v>5.9748559999999999</v>
      </c>
      <c r="J327" s="39">
        <v>9.2900000000000008E-6</v>
      </c>
      <c r="K327" s="31">
        <v>6.4435999999999993E-2</v>
      </c>
      <c r="L327" s="31">
        <v>-3.4000000000000002E-4</v>
      </c>
      <c r="M327" s="41">
        <v>3.1934999999999998E-2</v>
      </c>
      <c r="N327" s="37"/>
    </row>
    <row r="328" spans="2:14" x14ac:dyDescent="0.2">
      <c r="B328" s="36"/>
      <c r="C328" s="31">
        <v>10</v>
      </c>
      <c r="D328" s="31">
        <v>300</v>
      </c>
      <c r="E328" s="31">
        <v>13</v>
      </c>
      <c r="F328" s="31" t="s">
        <v>99</v>
      </c>
      <c r="G328" s="40">
        <v>188.66499999999999</v>
      </c>
      <c r="H328" s="31">
        <v>0.11282399999999999</v>
      </c>
      <c r="I328" s="31">
        <v>5.9891170000000002</v>
      </c>
      <c r="J328" s="39">
        <v>3.29E-5</v>
      </c>
      <c r="K328" s="31">
        <v>5.9022999999999999E-2</v>
      </c>
      <c r="L328" s="31">
        <v>-5.8E-4</v>
      </c>
      <c r="M328" s="41">
        <v>2.8348999999999999E-2</v>
      </c>
      <c r="N328" s="37"/>
    </row>
    <row r="329" spans="2:14" x14ac:dyDescent="0.2">
      <c r="B329" s="36"/>
      <c r="C329" s="31">
        <v>10</v>
      </c>
      <c r="D329" s="31">
        <v>300</v>
      </c>
      <c r="E329" s="31">
        <v>14</v>
      </c>
      <c r="F329" s="31" t="s">
        <v>100</v>
      </c>
      <c r="G329" s="40">
        <v>214.47450000000001</v>
      </c>
      <c r="H329" s="31">
        <v>0.108823</v>
      </c>
      <c r="I329" s="31">
        <v>5.9513360000000004</v>
      </c>
      <c r="J329" s="39">
        <v>2.8600000000000001E-5</v>
      </c>
      <c r="K329" s="31">
        <v>6.216E-2</v>
      </c>
      <c r="L329" s="31">
        <v>-4.0000000000000002E-4</v>
      </c>
      <c r="M329" s="41">
        <v>2.4709999999999999E-2</v>
      </c>
      <c r="N329" s="37"/>
    </row>
    <row r="330" spans="2:14" x14ac:dyDescent="0.2">
      <c r="B330" s="36"/>
      <c r="C330" s="31">
        <v>10</v>
      </c>
      <c r="D330" s="31">
        <v>300</v>
      </c>
      <c r="E330" s="31">
        <v>15</v>
      </c>
      <c r="F330" s="31" t="s">
        <v>101</v>
      </c>
      <c r="G330" s="31">
        <v>209.54050000000001</v>
      </c>
      <c r="H330" s="31">
        <v>0.10598399999999999</v>
      </c>
      <c r="I330" s="31">
        <v>5.9425929999999996</v>
      </c>
      <c r="J330" s="39">
        <v>2.9499999999999999E-5</v>
      </c>
      <c r="K330" s="31">
        <v>6.1733000000000003E-2</v>
      </c>
      <c r="L330" s="31">
        <v>-4.4999999999999999E-4</v>
      </c>
      <c r="M330" s="31">
        <v>2.588E-2</v>
      </c>
      <c r="N330" s="37"/>
    </row>
    <row r="331" spans="2:14" x14ac:dyDescent="0.2">
      <c r="B331" s="36"/>
      <c r="C331" s="31">
        <v>10</v>
      </c>
      <c r="D331" s="31">
        <v>300</v>
      </c>
      <c r="E331" s="31">
        <v>16</v>
      </c>
      <c r="F331" s="31" t="s">
        <v>102</v>
      </c>
      <c r="G331" s="31">
        <v>289.49520000000001</v>
      </c>
      <c r="H331" s="31">
        <v>4.0729000000000001E-2</v>
      </c>
      <c r="I331" s="31">
        <v>5.7459420000000003</v>
      </c>
      <c r="J331" s="39">
        <v>5.6199999999999997E-5</v>
      </c>
      <c r="K331" s="31">
        <v>5.9264999999999998E-2</v>
      </c>
      <c r="L331" s="31">
        <v>-4.4000000000000002E-4</v>
      </c>
      <c r="M331" s="31">
        <v>1.8672000000000001E-2</v>
      </c>
      <c r="N331" s="37"/>
    </row>
    <row r="332" spans="2:14" x14ac:dyDescent="0.2">
      <c r="B332" s="36"/>
      <c r="C332" s="31">
        <v>10</v>
      </c>
      <c r="D332" s="31">
        <v>300</v>
      </c>
      <c r="E332" s="31">
        <v>17</v>
      </c>
      <c r="F332" s="31" t="s">
        <v>103</v>
      </c>
      <c r="G332" s="31">
        <v>332.56259999999997</v>
      </c>
      <c r="H332" s="31">
        <v>6.6119999999999998E-2</v>
      </c>
      <c r="I332" s="31">
        <v>5.9013419999999996</v>
      </c>
      <c r="J332" s="39">
        <v>5.9799999999999997E-5</v>
      </c>
      <c r="K332" s="31">
        <v>5.9666999999999998E-2</v>
      </c>
      <c r="L332" s="31">
        <v>-2.7E-4</v>
      </c>
      <c r="M332" s="31">
        <v>1.6001000000000001E-2</v>
      </c>
      <c r="N332" s="37"/>
    </row>
    <row r="333" spans="2:14" x14ac:dyDescent="0.2">
      <c r="B333" s="36"/>
      <c r="C333" s="31">
        <v>10</v>
      </c>
      <c r="D333" s="31">
        <v>300</v>
      </c>
      <c r="E333" s="31">
        <v>18</v>
      </c>
      <c r="F333" s="31" t="s">
        <v>104</v>
      </c>
      <c r="G333" s="31">
        <v>347.76010000000002</v>
      </c>
      <c r="H333" s="31">
        <v>-3.1910000000000001E-2</v>
      </c>
      <c r="I333" s="31">
        <v>5.538538</v>
      </c>
      <c r="J333" s="39">
        <v>1E-4</v>
      </c>
      <c r="K333" s="31">
        <v>5.6944000000000002E-2</v>
      </c>
      <c r="L333" s="31">
        <v>-4.8999999999999998E-4</v>
      </c>
      <c r="M333" s="31">
        <v>1.5743E-2</v>
      </c>
      <c r="N333" s="37"/>
    </row>
    <row r="334" spans="2:14" x14ac:dyDescent="0.2">
      <c r="B334" s="36"/>
      <c r="C334" s="31">
        <v>10</v>
      </c>
      <c r="D334" s="31">
        <v>300</v>
      </c>
      <c r="E334" s="31">
        <v>19</v>
      </c>
      <c r="F334" s="31" t="s">
        <v>105</v>
      </c>
      <c r="G334" s="31">
        <v>398.24009999999998</v>
      </c>
      <c r="H334" s="31">
        <v>-7.0949999999999999E-2</v>
      </c>
      <c r="I334" s="31">
        <v>5.5310430000000004</v>
      </c>
      <c r="J334" s="31">
        <v>1.34E-4</v>
      </c>
      <c r="K334" s="31">
        <v>5.7110000000000001E-2</v>
      </c>
      <c r="L334" s="31">
        <v>-5.0000000000000001E-4</v>
      </c>
      <c r="M334" s="31">
        <v>1.4161999999999999E-2</v>
      </c>
      <c r="N334" s="37"/>
    </row>
    <row r="335" spans="2:14" x14ac:dyDescent="0.2">
      <c r="B335" s="36"/>
      <c r="C335" s="31">
        <v>10</v>
      </c>
      <c r="D335" s="31">
        <v>300</v>
      </c>
      <c r="E335" s="31">
        <v>20</v>
      </c>
      <c r="F335" s="31" t="s">
        <v>106</v>
      </c>
      <c r="G335" s="31">
        <v>415.14460000000003</v>
      </c>
      <c r="H335" s="31">
        <v>-8.4169999999999995E-2</v>
      </c>
      <c r="I335" s="31">
        <v>5.2635370000000004</v>
      </c>
      <c r="J335" s="31">
        <v>1.3999999999999999E-4</v>
      </c>
      <c r="K335" s="31">
        <v>5.5544999999999997E-2</v>
      </c>
      <c r="L335" s="31">
        <v>-5.1999999999999995E-4</v>
      </c>
      <c r="M335" s="31">
        <v>1.3731999999999999E-2</v>
      </c>
      <c r="N335" s="37"/>
    </row>
    <row r="336" spans="2:14" x14ac:dyDescent="0.2">
      <c r="B336" s="42"/>
      <c r="C336" s="43"/>
      <c r="D336" s="43"/>
      <c r="E336" s="43"/>
      <c r="F336" s="43"/>
      <c r="G336" s="43"/>
      <c r="H336" s="43"/>
      <c r="I336" s="43"/>
      <c r="J336" s="43"/>
      <c r="K336" s="43"/>
      <c r="L336" s="43"/>
      <c r="M336" s="43"/>
      <c r="N336" s="44"/>
    </row>
    <row r="337" spans="11:41" x14ac:dyDescent="0.2"/>
    <row r="338" spans="11:41" x14ac:dyDescent="0.2"/>
    <row r="339" spans="11:41" x14ac:dyDescent="0.2"/>
    <row r="340" spans="11:41" x14ac:dyDescent="0.2"/>
    <row r="341" spans="11:41" x14ac:dyDescent="0.2"/>
    <row r="342" spans="11:41" x14ac:dyDescent="0.2"/>
    <row r="343" spans="11:41" x14ac:dyDescent="0.2">
      <c r="K343" s="45"/>
      <c r="T343" s="45"/>
      <c r="AD343" s="45"/>
      <c r="AO343" s="45"/>
    </row>
    <row r="344" spans="11:41" x14ac:dyDescent="0.2"/>
    <row r="345" spans="11:41" x14ac:dyDescent="0.2"/>
    <row r="346" spans="11:41" x14ac:dyDescent="0.2"/>
    <row r="347" spans="11:41" x14ac:dyDescent="0.2"/>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3C134-73A2-458B-8EE1-4C16F121B704}">
  <sheetPr>
    <tabColor theme="0"/>
  </sheetPr>
  <dimension ref="A1:AA33"/>
  <sheetViews>
    <sheetView showGridLines="0" zoomScale="70" zoomScaleNormal="70" workbookViewId="0">
      <selection activeCell="H68" sqref="H68"/>
    </sheetView>
  </sheetViews>
  <sheetFormatPr defaultColWidth="8.88671875" defaultRowHeight="15" x14ac:dyDescent="0.2"/>
  <cols>
    <col min="1" max="1" width="18.5546875" style="1" customWidth="1"/>
    <col min="2" max="3" width="30.88671875" style="1" customWidth="1"/>
    <col min="4" max="4" width="12" style="1" customWidth="1"/>
    <col min="5" max="10" width="12" customWidth="1"/>
    <col min="11" max="27" width="8.6640625" customWidth="1"/>
    <col min="28" max="16384" width="8.88671875" style="1"/>
  </cols>
  <sheetData>
    <row r="1" spans="1:5" ht="18" x14ac:dyDescent="0.25">
      <c r="A1" s="2" t="str">
        <f ca="1">MID(CELL("filename",A2),FIND("]",CELL("filename",A2))+1,256)</f>
        <v>Safety Calculations =&gt;</v>
      </c>
    </row>
    <row r="2" spans="1:5" x14ac:dyDescent="0.2">
      <c r="A2" s="6" t="s">
        <v>0</v>
      </c>
    </row>
    <row r="4" spans="1:5" x14ac:dyDescent="0.2">
      <c r="E4" s="1"/>
    </row>
    <row r="5" spans="1:5" x14ac:dyDescent="0.2">
      <c r="E5" s="1"/>
    </row>
    <row r="6" spans="1:5" x14ac:dyDescent="0.2">
      <c r="E6" s="1"/>
    </row>
    <row r="7" spans="1:5" x14ac:dyDescent="0.2">
      <c r="E7" s="1"/>
    </row>
    <row r="8" spans="1:5" x14ac:dyDescent="0.2">
      <c r="E8" s="1"/>
    </row>
    <row r="9" spans="1:5" x14ac:dyDescent="0.2">
      <c r="E9" s="1"/>
    </row>
    <row r="10" spans="1:5" x14ac:dyDescent="0.2">
      <c r="E10" s="1"/>
    </row>
    <row r="11" spans="1:5" x14ac:dyDescent="0.2">
      <c r="E11" s="1"/>
    </row>
    <row r="12" spans="1:5" customFormat="1" x14ac:dyDescent="0.2">
      <c r="B12" s="1"/>
      <c r="C12" s="1"/>
      <c r="D12" s="1"/>
      <c r="E12" s="1"/>
    </row>
    <row r="13" spans="1:5" customFormat="1" x14ac:dyDescent="0.2">
      <c r="B13" s="1"/>
      <c r="C13" s="1"/>
      <c r="D13" s="1"/>
      <c r="E13" s="1"/>
    </row>
    <row r="14" spans="1:5" customFormat="1" x14ac:dyDescent="0.2">
      <c r="B14" s="1"/>
      <c r="C14" s="1"/>
      <c r="D14" s="1"/>
      <c r="E14" s="1"/>
    </row>
    <row r="15" spans="1:5" customFormat="1" x14ac:dyDescent="0.2">
      <c r="B15" s="1"/>
      <c r="C15" s="1"/>
      <c r="D15" s="1"/>
      <c r="E15" s="1"/>
    </row>
    <row r="16" spans="1:5" customFormat="1" x14ac:dyDescent="0.2">
      <c r="B16" s="1"/>
      <c r="C16" s="1"/>
      <c r="D16" s="1"/>
      <c r="E16" s="1"/>
    </row>
    <row r="17" spans="2:5" customFormat="1" x14ac:dyDescent="0.2">
      <c r="B17" s="1"/>
      <c r="C17" s="1"/>
      <c r="D17" s="1"/>
      <c r="E17" s="1"/>
    </row>
    <row r="18" spans="2:5" customFormat="1" x14ac:dyDescent="0.2">
      <c r="B18" s="1"/>
      <c r="C18" s="1"/>
      <c r="D18" s="1"/>
      <c r="E18" s="1"/>
    </row>
    <row r="19" spans="2:5" customFormat="1" x14ac:dyDescent="0.2">
      <c r="B19" s="1"/>
      <c r="C19" s="1"/>
      <c r="D19" s="1"/>
      <c r="E19" s="1"/>
    </row>
    <row r="20" spans="2:5" x14ac:dyDescent="0.2">
      <c r="E20" s="1"/>
    </row>
    <row r="21" spans="2:5" x14ac:dyDescent="0.2">
      <c r="E21" s="1"/>
    </row>
    <row r="22" spans="2:5" customFormat="1" x14ac:dyDescent="0.2"/>
    <row r="23" spans="2:5" customFormat="1" x14ac:dyDescent="0.2"/>
    <row r="24" spans="2:5" customFormat="1" x14ac:dyDescent="0.2"/>
    <row r="25" spans="2:5" customFormat="1" x14ac:dyDescent="0.2"/>
    <row r="26" spans="2:5" customFormat="1" x14ac:dyDescent="0.2"/>
    <row r="27" spans="2:5" customFormat="1" x14ac:dyDescent="0.2"/>
    <row r="28" spans="2:5" customFormat="1" x14ac:dyDescent="0.2"/>
    <row r="29" spans="2:5" customFormat="1" x14ac:dyDescent="0.2"/>
    <row r="30" spans="2:5" customFormat="1" x14ac:dyDescent="0.2"/>
    <row r="31" spans="2:5" customFormat="1" x14ac:dyDescent="0.2"/>
    <row r="32" spans="2:5" customFormat="1" x14ac:dyDescent="0.2"/>
    <row r="33" customFormat="1" x14ac:dyDescent="0.2"/>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8ACE2-569D-49F0-B72C-374F632CEBA9}">
  <sheetPr>
    <tabColor rgb="FF99FFCC"/>
  </sheetPr>
  <dimension ref="A1:AB130"/>
  <sheetViews>
    <sheetView showGridLines="0" topLeftCell="A49" zoomScale="70" zoomScaleNormal="70" workbookViewId="0">
      <selection activeCell="C115" sqref="C115"/>
    </sheetView>
  </sheetViews>
  <sheetFormatPr defaultColWidth="8.88671875" defaultRowHeight="15" x14ac:dyDescent="0.2"/>
  <cols>
    <col min="1" max="1" width="18.5546875" style="1" customWidth="1"/>
    <col min="2" max="2" width="35.88671875" style="1" customWidth="1"/>
    <col min="3" max="4" width="16.88671875" style="1" customWidth="1"/>
    <col min="5" max="5" width="17.21875" customWidth="1"/>
    <col min="6" max="6" width="16.109375" customWidth="1"/>
    <col min="7" max="7" width="16.5546875" customWidth="1"/>
    <col min="8" max="8" width="16.77734375" customWidth="1"/>
    <col min="9" max="10" width="12" customWidth="1"/>
    <col min="11" max="27" width="8.77734375" customWidth="1"/>
    <col min="28" max="28" width="12.44140625" style="1" bestFit="1" customWidth="1"/>
    <col min="29" max="16384" width="8.88671875" style="1"/>
  </cols>
  <sheetData>
    <row r="1" spans="1:28" ht="18" x14ac:dyDescent="0.25">
      <c r="A1" s="2" t="str">
        <f ca="1">MID(CELL("filename",A2),FIND("]",CELL("filename",A2))+1,256)</f>
        <v>Safety</v>
      </c>
    </row>
    <row r="2" spans="1:28" x14ac:dyDescent="0.2">
      <c r="A2" s="6" t="s">
        <v>0</v>
      </c>
    </row>
    <row r="4" spans="1:28" ht="20.25" x14ac:dyDescent="0.3">
      <c r="B4" s="16" t="s">
        <v>227</v>
      </c>
      <c r="C4" s="16"/>
      <c r="D4" s="16"/>
      <c r="E4" s="16"/>
      <c r="F4" s="16"/>
      <c r="G4" s="16"/>
      <c r="H4" s="16"/>
      <c r="AB4"/>
    </row>
    <row r="6" spans="1:28" ht="15.75" x14ac:dyDescent="0.25">
      <c r="B6" s="17" t="s">
        <v>202</v>
      </c>
      <c r="C6" s="17"/>
      <c r="D6" s="17"/>
      <c r="E6" s="17"/>
      <c r="F6" s="17"/>
      <c r="G6" s="17"/>
      <c r="H6" s="17"/>
    </row>
    <row r="8" spans="1:28" ht="15.75" x14ac:dyDescent="0.25">
      <c r="B8" s="11" t="s">
        <v>172</v>
      </c>
      <c r="C8" s="11"/>
      <c r="D8" s="11"/>
      <c r="E8" s="11"/>
    </row>
    <row r="9" spans="1:28" x14ac:dyDescent="0.2">
      <c r="B9" s="77" t="s">
        <v>184</v>
      </c>
      <c r="C9" s="78"/>
      <c r="D9" s="78"/>
      <c r="E9" s="79"/>
    </row>
    <row r="10" spans="1:28" x14ac:dyDescent="0.2">
      <c r="B10" s="80" t="s">
        <v>185</v>
      </c>
      <c r="C10"/>
      <c r="D10"/>
      <c r="E10" s="81"/>
    </row>
    <row r="11" spans="1:28" x14ac:dyDescent="0.2">
      <c r="B11" s="82" t="s">
        <v>186</v>
      </c>
      <c r="C11" s="83"/>
      <c r="D11" s="83"/>
      <c r="E11" s="46"/>
    </row>
    <row r="13" spans="1:28" ht="31.5" x14ac:dyDescent="0.25">
      <c r="B13" s="11" t="s">
        <v>187</v>
      </c>
      <c r="C13" s="12" t="s">
        <v>188</v>
      </c>
      <c r="D13" s="12" t="s">
        <v>189</v>
      </c>
      <c r="E13" s="12" t="s">
        <v>190</v>
      </c>
      <c r="F13" s="12" t="s">
        <v>191</v>
      </c>
      <c r="G13" s="12" t="s">
        <v>192</v>
      </c>
      <c r="H13" s="12" t="s">
        <v>193</v>
      </c>
    </row>
    <row r="14" spans="1:28" x14ac:dyDescent="0.2">
      <c r="B14" s="3" t="s">
        <v>194</v>
      </c>
      <c r="C14" s="84">
        <v>8947869</v>
      </c>
      <c r="D14" s="84">
        <v>543335</v>
      </c>
      <c r="E14" s="84"/>
      <c r="F14" s="84">
        <v>8298633</v>
      </c>
      <c r="G14" s="84">
        <v>659881</v>
      </c>
      <c r="H14" s="84"/>
    </row>
    <row r="15" spans="1:28" x14ac:dyDescent="0.2">
      <c r="B15" s="3" t="s">
        <v>195</v>
      </c>
      <c r="C15" s="84">
        <v>8611365</v>
      </c>
      <c r="D15" s="84">
        <v>499138</v>
      </c>
      <c r="E15" s="84">
        <v>48429</v>
      </c>
      <c r="F15" s="84">
        <v>8409584</v>
      </c>
      <c r="G15" s="84">
        <v>594663</v>
      </c>
      <c r="H15" s="84">
        <v>39848</v>
      </c>
    </row>
    <row r="16" spans="1:28" x14ac:dyDescent="0.2">
      <c r="B16" s="3" t="s">
        <v>196</v>
      </c>
      <c r="C16" s="84">
        <v>8331930</v>
      </c>
      <c r="D16" s="84">
        <v>507261</v>
      </c>
      <c r="E16" s="84">
        <v>47699</v>
      </c>
      <c r="F16" s="84">
        <v>7955196</v>
      </c>
      <c r="G16" s="84">
        <v>633652</v>
      </c>
      <c r="H16" s="84">
        <v>38566</v>
      </c>
    </row>
    <row r="17" spans="2:8" x14ac:dyDescent="0.2">
      <c r="B17" s="3" t="s">
        <v>197</v>
      </c>
      <c r="C17" s="84">
        <v>8905039</v>
      </c>
      <c r="D17" s="84">
        <v>504427</v>
      </c>
      <c r="E17" s="84">
        <v>48175</v>
      </c>
      <c r="F17" s="84">
        <v>7780230</v>
      </c>
      <c r="G17" s="84">
        <v>611175</v>
      </c>
      <c r="H17" s="84">
        <v>38110</v>
      </c>
    </row>
    <row r="18" spans="2:8" x14ac:dyDescent="0.2">
      <c r="B18" s="3" t="s">
        <v>198</v>
      </c>
      <c r="C18" s="84">
        <v>8820027</v>
      </c>
      <c r="D18" s="84">
        <v>507601</v>
      </c>
      <c r="E18" s="84">
        <v>53513</v>
      </c>
      <c r="F18" s="84">
        <v>8001286</v>
      </c>
      <c r="G18" s="84">
        <v>617588</v>
      </c>
      <c r="H18" s="84">
        <v>43661</v>
      </c>
    </row>
    <row r="19" spans="2:8" x14ac:dyDescent="0.2">
      <c r="B19" s="3" t="s">
        <v>199</v>
      </c>
      <c r="C19" s="84">
        <v>8302092</v>
      </c>
      <c r="D19" s="84">
        <v>460750</v>
      </c>
      <c r="E19" s="84">
        <v>52429</v>
      </c>
      <c r="F19" s="84">
        <v>7720934</v>
      </c>
      <c r="G19" s="84">
        <v>563748</v>
      </c>
      <c r="H19" s="84">
        <v>42488</v>
      </c>
    </row>
    <row r="20" spans="2:8" x14ac:dyDescent="0.2">
      <c r="B20" s="3" t="s">
        <v>200</v>
      </c>
      <c r="C20" s="84">
        <v>8343480</v>
      </c>
      <c r="D20" s="84">
        <v>522627</v>
      </c>
      <c r="E20" s="84">
        <v>44779</v>
      </c>
      <c r="F20" s="84">
        <v>8780310</v>
      </c>
      <c r="G20" s="84">
        <v>655048</v>
      </c>
      <c r="H20" s="84">
        <v>37888</v>
      </c>
    </row>
    <row r="21" spans="2:8" x14ac:dyDescent="0.2">
      <c r="B21" s="3" t="s">
        <v>201</v>
      </c>
      <c r="C21" s="84"/>
      <c r="D21" s="84"/>
      <c r="E21" s="84"/>
      <c r="F21" s="84">
        <v>9233736</v>
      </c>
      <c r="G21" s="84">
        <v>567583</v>
      </c>
      <c r="H21" s="84"/>
    </row>
    <row r="22" spans="2:8" x14ac:dyDescent="0.2">
      <c r="B22" s="3" t="s">
        <v>181</v>
      </c>
      <c r="C22" s="86">
        <f>AVERAGE(C14:C21)</f>
        <v>8608828.8571428563</v>
      </c>
      <c r="D22" s="86">
        <f t="shared" ref="D22:H22" si="0">AVERAGE(D14:D21)</f>
        <v>506448.42857142858</v>
      </c>
      <c r="E22" s="86">
        <f t="shared" si="0"/>
        <v>49170.666666666664</v>
      </c>
      <c r="F22" s="86">
        <f t="shared" si="0"/>
        <v>8272488.625</v>
      </c>
      <c r="G22" s="86">
        <f t="shared" si="0"/>
        <v>612917.25</v>
      </c>
      <c r="H22" s="86">
        <f t="shared" si="0"/>
        <v>40093.5</v>
      </c>
    </row>
    <row r="24" spans="2:8" ht="15.75" x14ac:dyDescent="0.25">
      <c r="B24" s="17" t="s">
        <v>221</v>
      </c>
      <c r="C24" s="17"/>
      <c r="D24" s="17"/>
      <c r="E24" s="17"/>
      <c r="F24" s="17"/>
      <c r="G24" s="17"/>
      <c r="H24" s="17"/>
    </row>
    <row r="26" spans="2:8" ht="15.75" x14ac:dyDescent="0.25">
      <c r="B26" s="11" t="s">
        <v>172</v>
      </c>
      <c r="C26" s="11"/>
      <c r="D26" s="11"/>
      <c r="E26" s="11"/>
    </row>
    <row r="27" spans="2:8" x14ac:dyDescent="0.2">
      <c r="B27" s="77" t="s">
        <v>218</v>
      </c>
      <c r="C27" s="78"/>
      <c r="D27" s="78"/>
      <c r="E27" s="79"/>
    </row>
    <row r="28" spans="2:8" x14ac:dyDescent="0.2">
      <c r="B28" s="80" t="s">
        <v>219</v>
      </c>
      <c r="C28"/>
      <c r="D28"/>
      <c r="E28" s="81"/>
    </row>
    <row r="29" spans="2:8" ht="16.5" x14ac:dyDescent="0.3">
      <c r="B29" s="82"/>
      <c r="C29" s="83"/>
      <c r="D29" s="83"/>
      <c r="E29" s="46"/>
      <c r="F29" s="87"/>
      <c r="G29" s="87"/>
    </row>
    <row r="30" spans="2:8" ht="21" x14ac:dyDescent="0.3">
      <c r="B30" s="88"/>
      <c r="C30" s="87"/>
      <c r="D30" s="87"/>
      <c r="E30" s="87"/>
      <c r="F30" s="87"/>
      <c r="G30" s="87"/>
    </row>
    <row r="31" spans="2:8" ht="31.5" x14ac:dyDescent="0.25">
      <c r="B31" s="11" t="s">
        <v>207</v>
      </c>
      <c r="C31" s="12" t="s">
        <v>203</v>
      </c>
      <c r="D31" s="12" t="s">
        <v>204</v>
      </c>
      <c r="E31" s="12" t="s">
        <v>205</v>
      </c>
      <c r="F31" s="12" t="s">
        <v>206</v>
      </c>
      <c r="G31" s="12" t="s">
        <v>228</v>
      </c>
      <c r="H31" s="12" t="s">
        <v>229</v>
      </c>
    </row>
    <row r="32" spans="2:8" x14ac:dyDescent="0.2">
      <c r="B32" s="89" t="s">
        <v>208</v>
      </c>
      <c r="C32" s="18">
        <v>126</v>
      </c>
      <c r="D32" s="18">
        <v>56</v>
      </c>
      <c r="E32" s="18">
        <v>177</v>
      </c>
      <c r="F32" s="18">
        <v>24</v>
      </c>
      <c r="G32" s="18">
        <v>1151</v>
      </c>
      <c r="H32" s="72">
        <f>G32-F32-C32-D32</f>
        <v>945</v>
      </c>
    </row>
    <row r="33" spans="2:8" x14ac:dyDescent="0.2">
      <c r="B33" s="89" t="s">
        <v>209</v>
      </c>
      <c r="C33" s="18">
        <v>127</v>
      </c>
      <c r="D33" s="18">
        <v>81</v>
      </c>
      <c r="E33" s="18">
        <v>203</v>
      </c>
      <c r="F33" s="18">
        <v>17</v>
      </c>
      <c r="G33" s="18">
        <v>1190</v>
      </c>
      <c r="H33" s="73">
        <f t="shared" ref="H33:H41" si="1">G33-F33-C33-D33</f>
        <v>965</v>
      </c>
    </row>
    <row r="34" spans="2:8" x14ac:dyDescent="0.2">
      <c r="B34" s="89" t="s">
        <v>210</v>
      </c>
      <c r="C34" s="18">
        <v>95</v>
      </c>
      <c r="D34" s="18">
        <v>61</v>
      </c>
      <c r="E34" s="18">
        <v>151</v>
      </c>
      <c r="F34" s="18">
        <v>11</v>
      </c>
      <c r="G34" s="18">
        <v>1101</v>
      </c>
      <c r="H34" s="73">
        <f t="shared" si="1"/>
        <v>934</v>
      </c>
    </row>
    <row r="35" spans="2:8" x14ac:dyDescent="0.2">
      <c r="B35" s="89" t="s">
        <v>211</v>
      </c>
      <c r="C35" s="18">
        <v>101</v>
      </c>
      <c r="D35" s="18">
        <v>76</v>
      </c>
      <c r="E35" s="18">
        <v>176</v>
      </c>
      <c r="F35" s="18">
        <v>16</v>
      </c>
      <c r="G35" s="18">
        <v>1051</v>
      </c>
      <c r="H35" s="73">
        <f t="shared" si="1"/>
        <v>858</v>
      </c>
    </row>
    <row r="36" spans="2:8" x14ac:dyDescent="0.2">
      <c r="B36" s="89" t="s">
        <v>212</v>
      </c>
      <c r="C36" s="18">
        <v>102</v>
      </c>
      <c r="D36" s="18">
        <v>72</v>
      </c>
      <c r="E36" s="18">
        <v>170</v>
      </c>
      <c r="F36" s="18">
        <v>19</v>
      </c>
      <c r="G36" s="18">
        <v>1100</v>
      </c>
      <c r="H36" s="73">
        <f t="shared" si="1"/>
        <v>907</v>
      </c>
    </row>
    <row r="37" spans="2:8" x14ac:dyDescent="0.2">
      <c r="B37" s="89" t="s">
        <v>213</v>
      </c>
      <c r="C37" s="18">
        <v>93</v>
      </c>
      <c r="D37" s="18">
        <v>75</v>
      </c>
      <c r="E37" s="18">
        <v>164</v>
      </c>
      <c r="F37" s="18">
        <v>23</v>
      </c>
      <c r="G37" s="18">
        <v>1198</v>
      </c>
      <c r="H37" s="73">
        <f t="shared" si="1"/>
        <v>1007</v>
      </c>
    </row>
    <row r="38" spans="2:8" x14ac:dyDescent="0.2">
      <c r="B38" s="89" t="s">
        <v>214</v>
      </c>
      <c r="C38" s="18">
        <v>93</v>
      </c>
      <c r="D38" s="18">
        <v>87</v>
      </c>
      <c r="E38" s="18">
        <v>170</v>
      </c>
      <c r="F38" s="18">
        <v>27</v>
      </c>
      <c r="G38" s="18">
        <v>1126</v>
      </c>
      <c r="H38" s="73">
        <f t="shared" si="1"/>
        <v>919</v>
      </c>
    </row>
    <row r="39" spans="2:8" x14ac:dyDescent="0.2">
      <c r="B39" s="89" t="s">
        <v>215</v>
      </c>
      <c r="C39" s="18">
        <v>78</v>
      </c>
      <c r="D39" s="18">
        <v>63</v>
      </c>
      <c r="E39" s="18">
        <v>136</v>
      </c>
      <c r="F39" s="18">
        <v>21</v>
      </c>
      <c r="G39" s="18">
        <v>1054</v>
      </c>
      <c r="H39" s="73">
        <f t="shared" si="1"/>
        <v>892</v>
      </c>
    </row>
    <row r="40" spans="2:8" x14ac:dyDescent="0.2">
      <c r="B40" s="89" t="s">
        <v>216</v>
      </c>
      <c r="C40" s="18">
        <v>95</v>
      </c>
      <c r="D40" s="18">
        <v>81</v>
      </c>
      <c r="E40" s="18">
        <v>173</v>
      </c>
      <c r="F40" s="18">
        <v>19</v>
      </c>
      <c r="G40" s="18">
        <v>1100</v>
      </c>
      <c r="H40" s="73">
        <f t="shared" si="1"/>
        <v>905</v>
      </c>
    </row>
    <row r="41" spans="2:8" x14ac:dyDescent="0.2">
      <c r="B41" s="89" t="s">
        <v>217</v>
      </c>
      <c r="C41" s="18">
        <v>87</v>
      </c>
      <c r="D41" s="18">
        <v>63</v>
      </c>
      <c r="E41" s="18">
        <v>148</v>
      </c>
      <c r="F41" s="18">
        <v>12</v>
      </c>
      <c r="G41" s="18">
        <v>1008</v>
      </c>
      <c r="H41" s="74">
        <f t="shared" si="1"/>
        <v>846</v>
      </c>
    </row>
    <row r="42" spans="2:8" x14ac:dyDescent="0.2">
      <c r="B42" s="3" t="s">
        <v>220</v>
      </c>
      <c r="C42" s="15">
        <f>AVERAGE(C37:C41)</f>
        <v>89.2</v>
      </c>
      <c r="D42" s="15">
        <f t="shared" ref="D42:H42" si="2">AVERAGE(D37:D41)</f>
        <v>73.8</v>
      </c>
      <c r="E42" s="15">
        <f t="shared" si="2"/>
        <v>158.19999999999999</v>
      </c>
      <c r="F42" s="15">
        <f t="shared" si="2"/>
        <v>20.399999999999999</v>
      </c>
      <c r="G42" s="15">
        <f t="shared" si="2"/>
        <v>1097.2</v>
      </c>
      <c r="H42" s="15">
        <f t="shared" si="2"/>
        <v>913.8</v>
      </c>
    </row>
    <row r="43" spans="2:8" x14ac:dyDescent="0.2">
      <c r="B43" s="3" t="s">
        <v>239</v>
      </c>
      <c r="C43" s="22">
        <f t="shared" ref="C43:H43" si="3">AVERAGE(C34:C38)</f>
        <v>96.8</v>
      </c>
      <c r="D43" s="23">
        <f t="shared" si="3"/>
        <v>74.2</v>
      </c>
      <c r="E43" s="23">
        <f t="shared" si="3"/>
        <v>166.2</v>
      </c>
      <c r="F43" s="23">
        <f t="shared" si="3"/>
        <v>19.2</v>
      </c>
      <c r="G43" s="23">
        <f t="shared" si="3"/>
        <v>1115.2</v>
      </c>
      <c r="H43" s="23">
        <f t="shared" si="3"/>
        <v>925</v>
      </c>
    </row>
    <row r="44" spans="2:8" x14ac:dyDescent="0.2">
      <c r="E44" s="1"/>
      <c r="F44" s="1"/>
      <c r="G44" s="1"/>
    </row>
    <row r="45" spans="2:8" ht="15.75" x14ac:dyDescent="0.25">
      <c r="B45" s="17" t="s">
        <v>298</v>
      </c>
      <c r="C45" s="17"/>
      <c r="D45" s="17"/>
      <c r="E45" s="17"/>
      <c r="F45" s="17"/>
      <c r="G45" s="17"/>
      <c r="H45" s="17"/>
    </row>
    <row r="47" spans="2:8" ht="15.75" x14ac:dyDescent="0.25">
      <c r="B47" s="11" t="s">
        <v>172</v>
      </c>
      <c r="C47" s="11"/>
      <c r="D47" s="11"/>
      <c r="E47" s="11"/>
    </row>
    <row r="48" spans="2:8" x14ac:dyDescent="0.2">
      <c r="B48" s="77" t="s">
        <v>222</v>
      </c>
      <c r="C48" s="78"/>
      <c r="D48" s="78"/>
      <c r="E48" s="79"/>
    </row>
    <row r="49" spans="2:5" x14ac:dyDescent="0.2">
      <c r="B49" s="80" t="s">
        <v>223</v>
      </c>
      <c r="C49"/>
      <c r="D49"/>
      <c r="E49" s="81"/>
    </row>
    <row r="50" spans="2:5" x14ac:dyDescent="0.2">
      <c r="B50" s="82"/>
      <c r="C50" s="83"/>
      <c r="D50" s="83"/>
      <c r="E50" s="46"/>
    </row>
    <row r="52" spans="2:5" ht="31.5" x14ac:dyDescent="0.25">
      <c r="B52" s="11" t="s">
        <v>224</v>
      </c>
      <c r="C52" s="12" t="s">
        <v>225</v>
      </c>
      <c r="D52" s="12" t="s">
        <v>226</v>
      </c>
      <c r="E52" s="12" t="s">
        <v>38</v>
      </c>
    </row>
    <row r="53" spans="2:5" x14ac:dyDescent="0.2">
      <c r="B53" s="3">
        <v>2008</v>
      </c>
      <c r="C53" s="18">
        <v>1610</v>
      </c>
      <c r="D53" s="72">
        <f>E53-C53</f>
        <v>31914</v>
      </c>
      <c r="E53" s="18">
        <v>33524</v>
      </c>
    </row>
    <row r="54" spans="2:5" x14ac:dyDescent="0.2">
      <c r="B54" s="3">
        <v>2009</v>
      </c>
      <c r="C54" s="18">
        <v>1512</v>
      </c>
      <c r="D54" s="73">
        <f t="shared" ref="D54:D62" si="4">E54-C54</f>
        <v>32180</v>
      </c>
      <c r="E54" s="18">
        <v>33692</v>
      </c>
    </row>
    <row r="55" spans="2:5" x14ac:dyDescent="0.2">
      <c r="B55" s="3">
        <v>2010</v>
      </c>
      <c r="C55" s="18">
        <v>1599</v>
      </c>
      <c r="D55" s="73">
        <f t="shared" si="4"/>
        <v>31176</v>
      </c>
      <c r="E55" s="18">
        <v>32775</v>
      </c>
    </row>
    <row r="56" spans="2:5" x14ac:dyDescent="0.2">
      <c r="B56" s="3">
        <v>2011</v>
      </c>
      <c r="C56" s="18">
        <v>1765</v>
      </c>
      <c r="D56" s="73">
        <f t="shared" si="4"/>
        <v>32317</v>
      </c>
      <c r="E56" s="18">
        <v>34082</v>
      </c>
    </row>
    <row r="57" spans="2:5" x14ac:dyDescent="0.2">
      <c r="B57" s="3">
        <v>2012</v>
      </c>
      <c r="C57" s="18">
        <v>1663</v>
      </c>
      <c r="D57" s="73">
        <f t="shared" si="4"/>
        <v>32428</v>
      </c>
      <c r="E57" s="18">
        <v>34091</v>
      </c>
    </row>
    <row r="58" spans="2:5" x14ac:dyDescent="0.2">
      <c r="B58" s="3">
        <v>2013</v>
      </c>
      <c r="C58" s="18">
        <v>1734</v>
      </c>
      <c r="D58" s="73">
        <f t="shared" si="4"/>
        <v>33325</v>
      </c>
      <c r="E58" s="18">
        <v>35059</v>
      </c>
    </row>
    <row r="59" spans="2:5" x14ac:dyDescent="0.2">
      <c r="B59" s="3">
        <v>2014</v>
      </c>
      <c r="C59" s="18">
        <v>1770</v>
      </c>
      <c r="D59" s="73">
        <f t="shared" si="4"/>
        <v>33782</v>
      </c>
      <c r="E59" s="18">
        <v>35552</v>
      </c>
    </row>
    <row r="60" spans="2:5" x14ac:dyDescent="0.2">
      <c r="B60" s="3">
        <v>2015</v>
      </c>
      <c r="C60" s="18">
        <v>1755</v>
      </c>
      <c r="D60" s="73">
        <f t="shared" si="4"/>
        <v>35327</v>
      </c>
      <c r="E60" s="18">
        <v>37082</v>
      </c>
    </row>
    <row r="61" spans="2:5" x14ac:dyDescent="0.2">
      <c r="B61" s="3">
        <v>2016</v>
      </c>
      <c r="C61" s="18">
        <v>1832</v>
      </c>
      <c r="D61" s="73">
        <f t="shared" si="4"/>
        <v>37113</v>
      </c>
      <c r="E61" s="18">
        <v>38945</v>
      </c>
    </row>
    <row r="62" spans="2:5" x14ac:dyDescent="0.2">
      <c r="B62" s="3">
        <v>2017</v>
      </c>
      <c r="C62" s="18">
        <v>1877</v>
      </c>
      <c r="D62" s="74">
        <f t="shared" si="4"/>
        <v>37453</v>
      </c>
      <c r="E62" s="18">
        <v>39330</v>
      </c>
    </row>
    <row r="63" spans="2:5" x14ac:dyDescent="0.2">
      <c r="B63" s="3" t="s">
        <v>301</v>
      </c>
      <c r="C63" s="22">
        <f>AVERAGE(C58:C62)</f>
        <v>1793.6</v>
      </c>
      <c r="D63" s="23">
        <f t="shared" ref="D63" si="5">AVERAGE(D58:D62)</f>
        <v>35400</v>
      </c>
      <c r="E63" s="90">
        <f t="shared" ref="E63" si="6">AVERAGE(E58:E62)</f>
        <v>37193.599999999999</v>
      </c>
    </row>
    <row r="64" spans="2:5" x14ac:dyDescent="0.2">
      <c r="B64" s="3" t="s">
        <v>302</v>
      </c>
      <c r="C64" s="22">
        <f>C63/$C$74</f>
        <v>1615.8558558558557</v>
      </c>
      <c r="D64" s="23">
        <f>D63/$C$74</f>
        <v>31891.89189189189</v>
      </c>
      <c r="E64" s="90">
        <f>E63/$C$74</f>
        <v>33507.747747747744</v>
      </c>
    </row>
    <row r="66" spans="2:8" ht="15.75" x14ac:dyDescent="0.25">
      <c r="B66" s="17" t="s">
        <v>319</v>
      </c>
      <c r="C66" s="17"/>
      <c r="D66" s="17"/>
      <c r="E66" s="17"/>
      <c r="F66" s="17"/>
      <c r="G66" s="17"/>
      <c r="H66" s="17"/>
    </row>
    <row r="68" spans="2:8" ht="15.75" x14ac:dyDescent="0.25">
      <c r="B68" s="109" t="s">
        <v>172</v>
      </c>
      <c r="C68" s="110"/>
      <c r="E68" s="1"/>
    </row>
    <row r="69" spans="2:8" x14ac:dyDescent="0.2">
      <c r="B69" s="92" t="s">
        <v>299</v>
      </c>
      <c r="C69" s="81"/>
    </row>
    <row r="70" spans="2:8" x14ac:dyDescent="0.2">
      <c r="B70" s="92" t="s">
        <v>300</v>
      </c>
      <c r="C70" s="81"/>
    </row>
    <row r="71" spans="2:8" x14ac:dyDescent="0.2">
      <c r="B71" s="82"/>
      <c r="C71" s="46"/>
    </row>
    <row r="72" spans="2:8" x14ac:dyDescent="0.2">
      <c r="B72"/>
      <c r="C72"/>
    </row>
    <row r="73" spans="2:8" ht="15.75" x14ac:dyDescent="0.25">
      <c r="B73" s="11"/>
      <c r="C73" s="11" t="s">
        <v>181</v>
      </c>
    </row>
    <row r="74" spans="2:8" ht="30" x14ac:dyDescent="0.2">
      <c r="B74" s="111" t="s">
        <v>317</v>
      </c>
      <c r="C74" s="4">
        <v>1.1100000000000001</v>
      </c>
    </row>
    <row r="75" spans="2:8" x14ac:dyDescent="0.2">
      <c r="B75" s="111" t="s">
        <v>318</v>
      </c>
      <c r="C75" s="4">
        <v>1.08</v>
      </c>
    </row>
    <row r="77" spans="2:8" ht="15.75" x14ac:dyDescent="0.25">
      <c r="B77" s="17" t="s">
        <v>311</v>
      </c>
      <c r="C77" s="17"/>
      <c r="D77" s="17"/>
      <c r="E77" s="17"/>
      <c r="F77" s="17"/>
      <c r="G77" s="17"/>
      <c r="H77" s="17"/>
    </row>
    <row r="79" spans="2:8" ht="15.75" x14ac:dyDescent="0.25">
      <c r="B79" s="11" t="s">
        <v>172</v>
      </c>
      <c r="C79" s="11"/>
      <c r="D79" s="11"/>
      <c r="E79" s="11"/>
    </row>
    <row r="80" spans="2:8" x14ac:dyDescent="0.2">
      <c r="B80" s="77" t="s">
        <v>304</v>
      </c>
      <c r="C80" s="78"/>
      <c r="D80" s="78"/>
      <c r="E80" s="79"/>
    </row>
    <row r="81" spans="2:9" x14ac:dyDescent="0.2">
      <c r="B81" s="80" t="s">
        <v>303</v>
      </c>
      <c r="C81"/>
      <c r="D81"/>
      <c r="E81" s="81"/>
    </row>
    <row r="82" spans="2:9" x14ac:dyDescent="0.2">
      <c r="B82" s="82"/>
      <c r="C82" s="83"/>
      <c r="D82" s="83"/>
      <c r="E82" s="46"/>
    </row>
    <row r="84" spans="2:9" ht="31.5" x14ac:dyDescent="0.25">
      <c r="B84" s="12" t="s">
        <v>25</v>
      </c>
      <c r="C84" s="12" t="s">
        <v>305</v>
      </c>
      <c r="D84" s="12" t="s">
        <v>306</v>
      </c>
      <c r="E84" s="12" t="s">
        <v>307</v>
      </c>
      <c r="F84" s="12" t="s">
        <v>308</v>
      </c>
      <c r="G84" s="12" t="s">
        <v>309</v>
      </c>
    </row>
    <row r="85" spans="2:9" x14ac:dyDescent="0.2">
      <c r="B85" s="3">
        <v>2015</v>
      </c>
      <c r="C85" s="18">
        <v>326</v>
      </c>
      <c r="D85" s="18">
        <v>4950</v>
      </c>
      <c r="E85" s="18">
        <v>7576</v>
      </c>
      <c r="F85" s="18">
        <v>5465</v>
      </c>
      <c r="G85" s="18">
        <v>18317</v>
      </c>
    </row>
    <row r="86" spans="2:9" x14ac:dyDescent="0.2">
      <c r="B86" s="3">
        <v>2016</v>
      </c>
      <c r="C86" s="18">
        <v>356</v>
      </c>
      <c r="D86" s="18">
        <v>5058</v>
      </c>
      <c r="E86" s="18">
        <v>6933</v>
      </c>
      <c r="F86" s="18">
        <v>5481</v>
      </c>
      <c r="G86" s="18">
        <v>17828</v>
      </c>
    </row>
    <row r="87" spans="2:9" x14ac:dyDescent="0.2">
      <c r="B87" s="3">
        <v>2017</v>
      </c>
      <c r="C87" s="18">
        <v>351</v>
      </c>
      <c r="D87" s="18">
        <v>4992</v>
      </c>
      <c r="E87" s="18">
        <v>6679</v>
      </c>
      <c r="F87" s="18">
        <v>4826</v>
      </c>
      <c r="G87" s="18">
        <v>16848</v>
      </c>
    </row>
    <row r="88" spans="2:9" x14ac:dyDescent="0.2">
      <c r="B88" s="3">
        <v>2018</v>
      </c>
      <c r="C88" s="18">
        <v>326</v>
      </c>
      <c r="D88" s="18">
        <v>4767</v>
      </c>
      <c r="E88" s="18">
        <v>5982</v>
      </c>
      <c r="F88" s="18">
        <v>3602</v>
      </c>
      <c r="G88" s="18">
        <v>14677</v>
      </c>
    </row>
    <row r="89" spans="2:9" x14ac:dyDescent="0.2">
      <c r="B89" s="3">
        <v>2019</v>
      </c>
      <c r="C89" s="18">
        <v>329</v>
      </c>
      <c r="D89" s="18">
        <v>4140</v>
      </c>
      <c r="E89" s="18">
        <v>5286</v>
      </c>
      <c r="F89" s="18">
        <v>4164</v>
      </c>
      <c r="G89" s="18">
        <v>13919</v>
      </c>
    </row>
    <row r="90" spans="2:9" x14ac:dyDescent="0.2">
      <c r="B90" s="3" t="s">
        <v>310</v>
      </c>
      <c r="C90" s="22">
        <f>AVERAGE(C85:C89)</f>
        <v>337.6</v>
      </c>
      <c r="D90" s="23">
        <f t="shared" ref="D90:G90" si="7">AVERAGE(D85:D89)</f>
        <v>4781.3999999999996</v>
      </c>
      <c r="E90" s="23">
        <f t="shared" si="7"/>
        <v>6491.2</v>
      </c>
      <c r="F90" s="23">
        <f t="shared" si="7"/>
        <v>4707.6000000000004</v>
      </c>
      <c r="G90" s="90">
        <f t="shared" si="7"/>
        <v>16317.8</v>
      </c>
    </row>
    <row r="92" spans="2:9" ht="15.75" x14ac:dyDescent="0.25">
      <c r="B92" s="17" t="s">
        <v>236</v>
      </c>
      <c r="C92" s="17"/>
      <c r="D92" s="17"/>
      <c r="E92" s="17"/>
      <c r="F92" s="17"/>
      <c r="G92" s="17"/>
      <c r="H92" s="17"/>
      <c r="I92" s="17"/>
    </row>
    <row r="94" spans="2:9" ht="15.75" x14ac:dyDescent="0.25">
      <c r="B94" s="11" t="s">
        <v>172</v>
      </c>
      <c r="C94" s="11"/>
      <c r="D94" s="11"/>
      <c r="E94" s="11"/>
    </row>
    <row r="95" spans="2:9" x14ac:dyDescent="0.2">
      <c r="B95" s="77" t="s">
        <v>238</v>
      </c>
      <c r="C95" s="78"/>
      <c r="D95" s="78"/>
      <c r="E95" s="79"/>
    </row>
    <row r="96" spans="2:9" x14ac:dyDescent="0.2">
      <c r="B96" s="80" t="s">
        <v>223</v>
      </c>
      <c r="C96"/>
      <c r="D96"/>
      <c r="E96" s="81"/>
    </row>
    <row r="97" spans="2:9" x14ac:dyDescent="0.2">
      <c r="B97" s="82"/>
      <c r="C97" s="83"/>
      <c r="D97" s="83"/>
      <c r="E97" s="46"/>
    </row>
    <row r="99" spans="2:9" ht="31.5" x14ac:dyDescent="0.25">
      <c r="B99" s="11" t="s">
        <v>230</v>
      </c>
      <c r="C99" s="12" t="s">
        <v>20</v>
      </c>
      <c r="D99" s="12" t="s">
        <v>231</v>
      </c>
      <c r="E99" s="12" t="s">
        <v>40</v>
      </c>
      <c r="F99" s="12" t="s">
        <v>237</v>
      </c>
      <c r="G99" s="12" t="s">
        <v>232</v>
      </c>
      <c r="H99" s="12" t="s">
        <v>41</v>
      </c>
      <c r="I99" s="11" t="s">
        <v>38</v>
      </c>
    </row>
    <row r="100" spans="2:9" x14ac:dyDescent="0.2">
      <c r="B100" s="3" t="s">
        <v>233</v>
      </c>
      <c r="C100" s="4">
        <v>168.02514810892785</v>
      </c>
      <c r="D100" s="4">
        <v>2.3441268697986342</v>
      </c>
      <c r="E100" s="4">
        <v>2.2739347472372096</v>
      </c>
      <c r="F100" s="4">
        <v>43.115437588941361</v>
      </c>
      <c r="G100" s="4">
        <v>7.2016643848345296</v>
      </c>
      <c r="H100" s="4">
        <v>7.2016643848345296</v>
      </c>
      <c r="I100" s="4">
        <v>232.17169828230777</v>
      </c>
    </row>
    <row r="101" spans="2:9" x14ac:dyDescent="0.2">
      <c r="B101" s="3" t="s">
        <v>234</v>
      </c>
      <c r="C101" s="4">
        <v>169.58465182778951</v>
      </c>
      <c r="D101" s="4">
        <v>2.2788754187358204</v>
      </c>
      <c r="E101" s="4">
        <v>2.3600890389450169</v>
      </c>
      <c r="F101" s="4">
        <v>44.48498479218739</v>
      </c>
      <c r="G101" s="4">
        <v>7.4524303634600741</v>
      </c>
      <c r="H101" s="4">
        <v>7.4524303634600741</v>
      </c>
      <c r="I101" s="4">
        <v>235.60825032290811</v>
      </c>
    </row>
    <row r="102" spans="2:9" x14ac:dyDescent="0.2">
      <c r="B102" s="3" t="s">
        <v>109</v>
      </c>
      <c r="C102" s="4">
        <v>171.20331461579866</v>
      </c>
      <c r="D102" s="4">
        <v>2.3304985250357184</v>
      </c>
      <c r="E102" s="4">
        <v>2.4002748299825463</v>
      </c>
      <c r="F102" s="4">
        <v>45.833945681897205</v>
      </c>
      <c r="G102" s="4">
        <v>7.6519884300792214</v>
      </c>
      <c r="H102" s="4">
        <v>7.6519884300792214</v>
      </c>
      <c r="I102" s="4">
        <v>239.06718481620845</v>
      </c>
    </row>
    <row r="103" spans="2:9" x14ac:dyDescent="0.2">
      <c r="B103" s="3" t="s">
        <v>110</v>
      </c>
      <c r="C103" s="4">
        <v>173.70749999999998</v>
      </c>
      <c r="D103" s="4">
        <v>2.3774129911619886</v>
      </c>
      <c r="E103" s="4">
        <v>2.4412143496281136</v>
      </c>
      <c r="F103" s="4">
        <v>47.087322346875204</v>
      </c>
      <c r="G103" s="4">
        <v>7.842689661385764</v>
      </c>
      <c r="H103" s="4">
        <v>7.842689661385764</v>
      </c>
      <c r="I103" s="4">
        <v>243.29870858979879</v>
      </c>
    </row>
    <row r="104" spans="2:9" x14ac:dyDescent="0.2">
      <c r="B104" s="3" t="s">
        <v>111</v>
      </c>
      <c r="C104" s="4">
        <v>177.08576000000005</v>
      </c>
      <c r="D104" s="4">
        <v>2.4131818379855465</v>
      </c>
      <c r="E104" s="4">
        <v>2.4555142670480254</v>
      </c>
      <c r="F104" s="4">
        <v>48.481557486423107</v>
      </c>
      <c r="G104" s="4">
        <v>7.9451899100731636</v>
      </c>
      <c r="H104" s="4">
        <v>7.9451899100731636</v>
      </c>
      <c r="I104" s="4">
        <v>248.41417692885921</v>
      </c>
    </row>
    <row r="105" spans="2:9" x14ac:dyDescent="0.2">
      <c r="B105" s="3" t="s">
        <v>112</v>
      </c>
      <c r="C105" s="4">
        <v>181.47354223000346</v>
      </c>
      <c r="D105" s="4">
        <v>2.4540728110326802</v>
      </c>
      <c r="E105" s="4">
        <v>2.479682605885313</v>
      </c>
      <c r="F105" s="4">
        <v>50.113789556975618</v>
      </c>
      <c r="G105" s="4">
        <v>8.0308304258810796</v>
      </c>
      <c r="H105" s="4">
        <v>8.0308304258810796</v>
      </c>
      <c r="I105" s="4">
        <v>254.8524172711482</v>
      </c>
    </row>
    <row r="106" spans="2:9" x14ac:dyDescent="0.2">
      <c r="B106" s="3" t="s">
        <v>113</v>
      </c>
      <c r="C106" s="4">
        <v>184.62156491204337</v>
      </c>
      <c r="D106" s="4">
        <v>2.4686956135574816</v>
      </c>
      <c r="E106" s="4">
        <v>2.494479251354925</v>
      </c>
      <c r="F106" s="4">
        <v>51.95044660397042</v>
      </c>
      <c r="G106" s="4">
        <v>8.123150506705807</v>
      </c>
      <c r="H106" s="4">
        <v>8.123150506705807</v>
      </c>
      <c r="I106" s="4">
        <v>260.19341637892637</v>
      </c>
    </row>
    <row r="107" spans="2:9" x14ac:dyDescent="0.2">
      <c r="B107" s="3" t="s">
        <v>114</v>
      </c>
      <c r="C107" s="4">
        <v>185.40817825039568</v>
      </c>
      <c r="D107" s="4">
        <v>2.457883713726515</v>
      </c>
      <c r="E107" s="4">
        <v>2.5165456185208721</v>
      </c>
      <c r="F107" s="4">
        <v>54.003938380580578</v>
      </c>
      <c r="G107" s="4">
        <v>8.2173232629138813</v>
      </c>
      <c r="H107" s="4">
        <v>8.2173232629138813</v>
      </c>
      <c r="I107" s="4">
        <v>263.4110612189312</v>
      </c>
    </row>
    <row r="108" spans="2:9" x14ac:dyDescent="0.2">
      <c r="B108" s="3" t="s">
        <v>86</v>
      </c>
      <c r="C108" s="4">
        <v>185.45462670257029</v>
      </c>
      <c r="D108" s="4">
        <v>2.4370021215217395</v>
      </c>
      <c r="E108" s="4">
        <v>2.5388564221812189</v>
      </c>
      <c r="F108" s="4">
        <v>54.388346479069241</v>
      </c>
      <c r="G108" s="4">
        <v>8.2741751847647365</v>
      </c>
      <c r="H108" s="4">
        <v>8.2741751847647365</v>
      </c>
      <c r="I108" s="4">
        <v>264.00014458252798</v>
      </c>
    </row>
    <row r="109" spans="2:9" x14ac:dyDescent="0.2">
      <c r="B109" s="3" t="s">
        <v>235</v>
      </c>
      <c r="C109" s="4">
        <v>170.62577744360001</v>
      </c>
      <c r="D109" s="4">
        <v>2.3698092601343212</v>
      </c>
      <c r="E109" s="4">
        <v>2.3789691810522817</v>
      </c>
      <c r="F109" s="4">
        <v>52.496311428054156</v>
      </c>
      <c r="G109" s="4">
        <v>8.3102047275977711</v>
      </c>
      <c r="H109" s="4">
        <v>8.3102047275977711</v>
      </c>
      <c r="I109" s="4">
        <v>246.98679852628734</v>
      </c>
    </row>
    <row r="110" spans="2:9" x14ac:dyDescent="0.2">
      <c r="B110" s="3" t="s">
        <v>220</v>
      </c>
      <c r="C110" s="22">
        <f>AVERAGE(C105:C109)</f>
        <v>181.51673790772253</v>
      </c>
      <c r="D110" s="23">
        <f t="shared" ref="D110:I110" si="8">AVERAGE(D105:D109)</f>
        <v>2.4374927039945478</v>
      </c>
      <c r="E110" s="23">
        <f t="shared" si="8"/>
        <v>2.4817066157989225</v>
      </c>
      <c r="F110" s="23">
        <f t="shared" si="8"/>
        <v>52.590566489730008</v>
      </c>
      <c r="G110" s="23">
        <f t="shared" si="8"/>
        <v>8.1911368215726554</v>
      </c>
      <c r="H110" s="23">
        <f t="shared" si="8"/>
        <v>8.1911368215726554</v>
      </c>
      <c r="I110" s="90">
        <f t="shared" si="8"/>
        <v>257.88876759556422</v>
      </c>
    </row>
    <row r="112" spans="2:9" ht="15.75" x14ac:dyDescent="0.25">
      <c r="B112" s="17" t="s">
        <v>314</v>
      </c>
      <c r="C112" s="17"/>
      <c r="D112" s="17"/>
      <c r="E112" s="17"/>
      <c r="F112" s="17"/>
      <c r="G112" s="17"/>
      <c r="H112" s="17"/>
    </row>
    <row r="114" spans="2:9" ht="31.5" x14ac:dyDescent="0.25">
      <c r="B114" s="11" t="s">
        <v>166</v>
      </c>
      <c r="C114" s="11" t="s">
        <v>305</v>
      </c>
      <c r="D114" s="12" t="s">
        <v>315</v>
      </c>
      <c r="E114" s="12" t="s">
        <v>316</v>
      </c>
      <c r="F114" s="1"/>
      <c r="G114" s="1"/>
      <c r="H114" s="1"/>
      <c r="I114" s="1"/>
    </row>
    <row r="115" spans="2:9" x14ac:dyDescent="0.2">
      <c r="B115" s="3" t="s">
        <v>37</v>
      </c>
      <c r="C115" s="91">
        <f>H42/(C110+D110+F110)</f>
        <v>3.8631160405870104</v>
      </c>
      <c r="D115" s="91">
        <f>C115*D64/H43</f>
        <v>133.19143689971284</v>
      </c>
      <c r="E115" s="47">
        <f>D115/$D$90*($E$90+$F$90)</f>
        <v>311.9555493270808</v>
      </c>
      <c r="F115" s="1"/>
      <c r="G115" s="1"/>
      <c r="H115" s="1"/>
      <c r="I115" s="1"/>
    </row>
    <row r="116" spans="2:9" x14ac:dyDescent="0.2">
      <c r="B116" s="3" t="s">
        <v>122</v>
      </c>
      <c r="C116" s="91">
        <f>D42/G110</f>
        <v>9.0097384047640396</v>
      </c>
      <c r="D116" s="47">
        <f>C116*$C$64/SUM($C$43:$D$43,$F$43)</f>
        <v>76.542789490364726</v>
      </c>
      <c r="E116" s="48">
        <f t="shared" ref="E116:E120" si="9">D116/$D$90*($E$90+$F$90)</f>
        <v>179.27539861645053</v>
      </c>
      <c r="F116" s="1"/>
      <c r="G116" s="1"/>
      <c r="H116" s="1"/>
      <c r="I116" s="1"/>
    </row>
    <row r="117" spans="2:9" x14ac:dyDescent="0.2">
      <c r="B117" s="3" t="s">
        <v>123</v>
      </c>
      <c r="C117" s="91">
        <f>C116</f>
        <v>9.0097384047640396</v>
      </c>
      <c r="D117" s="48">
        <f>C117*$C$64/SUM($C$43:$D$43,$F$43)</f>
        <v>76.542789490364726</v>
      </c>
      <c r="E117" s="48">
        <f>D117/$D$90*($E$90+$F$90)</f>
        <v>179.27539861645053</v>
      </c>
      <c r="F117" s="1"/>
      <c r="G117" s="1"/>
      <c r="H117" s="1"/>
      <c r="I117" s="1"/>
    </row>
    <row r="118" spans="2:9" x14ac:dyDescent="0.2">
      <c r="B118" s="3" t="s">
        <v>40</v>
      </c>
      <c r="C118" s="91">
        <f>F42/E110</f>
        <v>8.2201497429754546</v>
      </c>
      <c r="D118" s="48">
        <f>C118*$C$64/SUM($C$43:$D$43,$F$43)</f>
        <v>69.834790211350665</v>
      </c>
      <c r="E118" s="48">
        <f t="shared" si="9"/>
        <v>163.56419638994308</v>
      </c>
      <c r="F118" s="1"/>
      <c r="G118" s="1"/>
      <c r="H118" s="1"/>
      <c r="I118" s="1"/>
    </row>
    <row r="119" spans="2:9" x14ac:dyDescent="0.2">
      <c r="B119" s="3" t="s">
        <v>41</v>
      </c>
      <c r="C119" s="91">
        <f>C42/H110</f>
        <v>10.88981931849529</v>
      </c>
      <c r="D119" s="48">
        <f>C119*$C$64/SUM($C$43:$D$43,$F$43)</f>
        <v>92.515133096755207</v>
      </c>
      <c r="E119" s="48">
        <f t="shared" si="9"/>
        <v>216.68517014346051</v>
      </c>
      <c r="F119" s="1"/>
      <c r="G119" s="1"/>
      <c r="H119" s="1"/>
      <c r="I119" s="1"/>
    </row>
    <row r="120" spans="2:9" x14ac:dyDescent="0.2">
      <c r="B120" s="3" t="s">
        <v>84</v>
      </c>
      <c r="C120" s="91">
        <f>C119</f>
        <v>10.88981931849529</v>
      </c>
      <c r="D120" s="64">
        <f>C120*$C$64/SUM($C$43:$D$43,$F$43)</f>
        <v>92.515133096755207</v>
      </c>
      <c r="E120" s="64">
        <f t="shared" si="9"/>
        <v>216.68517014346051</v>
      </c>
      <c r="F120" s="1"/>
      <c r="G120" s="1"/>
      <c r="H120" s="1"/>
      <c r="I120" s="1"/>
    </row>
    <row r="121" spans="2:9" x14ac:dyDescent="0.2">
      <c r="E121" s="1"/>
      <c r="F121" s="1"/>
      <c r="G121" s="1"/>
      <c r="H121" s="1"/>
      <c r="I121" s="1"/>
    </row>
    <row r="122" spans="2:9" ht="15.75" x14ac:dyDescent="0.25">
      <c r="B122" s="17" t="s">
        <v>240</v>
      </c>
      <c r="C122" s="17"/>
      <c r="D122" s="17"/>
      <c r="E122" s="17"/>
      <c r="F122" s="17"/>
      <c r="G122" s="17"/>
      <c r="H122" s="17"/>
    </row>
    <row r="124" spans="2:9" ht="31.5" x14ac:dyDescent="0.25">
      <c r="B124" s="11" t="s">
        <v>166</v>
      </c>
      <c r="C124" s="11" t="s">
        <v>305</v>
      </c>
      <c r="D124" s="12" t="s">
        <v>315</v>
      </c>
      <c r="E124" s="12" t="s">
        <v>316</v>
      </c>
      <c r="F124" s="11" t="s">
        <v>312</v>
      </c>
      <c r="G124" s="11" t="s">
        <v>313</v>
      </c>
    </row>
    <row r="125" spans="2:9" x14ac:dyDescent="0.2">
      <c r="B125" s="3" t="s">
        <v>37</v>
      </c>
      <c r="C125" s="112">
        <f>C115*AVERAGE(C$22,F$22)/10^9</f>
        <v>3.2607244175754002E-2</v>
      </c>
      <c r="D125" s="113">
        <f t="shared" ref="C125:D130" si="10">D115*AVERAGE(D$22,G$22)/10^9</f>
        <v>7.4544961572575341E-2</v>
      </c>
      <c r="E125" s="114">
        <f t="shared" ref="E125:E130" si="11">E115*AVERAGE(E$22,H$22)/10^9</f>
        <v>1.3923226073862045E-2</v>
      </c>
      <c r="F125" s="93">
        <f>SUM(C125:E125)</f>
        <v>0.12107543182219138</v>
      </c>
      <c r="G125" s="85">
        <f>F125*CPI_2020/CPI_2013</f>
        <v>0.13585789733536591</v>
      </c>
    </row>
    <row r="126" spans="2:9" x14ac:dyDescent="0.2">
      <c r="B126" s="3" t="s">
        <v>122</v>
      </c>
      <c r="C126" s="115">
        <f t="shared" si="10"/>
        <v>7.6048127220938552E-2</v>
      </c>
      <c r="D126" s="116">
        <f t="shared" si="10"/>
        <v>4.2839685748816067E-2</v>
      </c>
      <c r="E126" s="117">
        <f t="shared" si="11"/>
        <v>8.0014345306659712E-3</v>
      </c>
      <c r="F126" s="94">
        <f t="shared" ref="F126:F130" si="12">SUM(C126:E126)</f>
        <v>0.12688924750042058</v>
      </c>
      <c r="G126" s="85">
        <f t="shared" ref="G126:G130" si="13">F126*CPI_2020/CPI_2013</f>
        <v>0.14238153934640216</v>
      </c>
    </row>
    <row r="127" spans="2:9" x14ac:dyDescent="0.2">
      <c r="B127" s="3" t="s">
        <v>123</v>
      </c>
      <c r="C127" s="115">
        <f t="shared" si="10"/>
        <v>7.6048127220938552E-2</v>
      </c>
      <c r="D127" s="116">
        <f t="shared" si="10"/>
        <v>4.2839685748816067E-2</v>
      </c>
      <c r="E127" s="117">
        <f t="shared" si="11"/>
        <v>8.0014345306659712E-3</v>
      </c>
      <c r="F127" s="94">
        <f t="shared" si="12"/>
        <v>0.12688924750042058</v>
      </c>
      <c r="G127" s="85">
        <f t="shared" si="13"/>
        <v>0.14238153934640216</v>
      </c>
    </row>
    <row r="128" spans="2:9" x14ac:dyDescent="0.2">
      <c r="B128" s="3" t="s">
        <v>40</v>
      </c>
      <c r="C128" s="115">
        <f t="shared" si="10"/>
        <v>6.9383478780961821E-2</v>
      </c>
      <c r="D128" s="116">
        <f t="shared" si="10"/>
        <v>3.9085333666410954E-2</v>
      </c>
      <c r="E128" s="117">
        <f t="shared" si="11"/>
        <v>7.3002108436256378E-3</v>
      </c>
      <c r="F128" s="94">
        <f t="shared" si="12"/>
        <v>0.11576902329099842</v>
      </c>
      <c r="G128" s="85">
        <f t="shared" si="13"/>
        <v>0.12990361334396916</v>
      </c>
    </row>
    <row r="129" spans="2:7" x14ac:dyDescent="0.2">
      <c r="B129" s="3" t="s">
        <v>41</v>
      </c>
      <c r="C129" s="115">
        <f t="shared" si="10"/>
        <v>9.191724861934579E-2</v>
      </c>
      <c r="D129" s="116">
        <f t="shared" si="10"/>
        <v>5.1779132368487718E-2</v>
      </c>
      <c r="E129" s="117">
        <f t="shared" si="11"/>
        <v>9.6711105709404409E-3</v>
      </c>
      <c r="F129" s="94">
        <f t="shared" si="12"/>
        <v>0.15336749155877394</v>
      </c>
      <c r="G129" s="85">
        <f t="shared" si="13"/>
        <v>0.17209259227234516</v>
      </c>
    </row>
    <row r="130" spans="2:7" x14ac:dyDescent="0.2">
      <c r="B130" s="3" t="s">
        <v>84</v>
      </c>
      <c r="C130" s="118">
        <f t="shared" si="10"/>
        <v>9.191724861934579E-2</v>
      </c>
      <c r="D130" s="119">
        <f t="shared" si="10"/>
        <v>5.1779132368487718E-2</v>
      </c>
      <c r="E130" s="120">
        <f t="shared" si="11"/>
        <v>9.6711105709404409E-3</v>
      </c>
      <c r="F130" s="95">
        <f t="shared" si="12"/>
        <v>0.15336749155877394</v>
      </c>
      <c r="G130" s="85">
        <f t="shared" si="13"/>
        <v>0.17209259227234516</v>
      </c>
    </row>
  </sheetData>
  <hyperlinks>
    <hyperlink ref="B10" r:id="rId1" xr:uid="{0506A1E3-79CB-406F-8B37-78AC7C8EFC4F}"/>
    <hyperlink ref="B28" r:id="rId2" display="https://atap.gov.au/parameter-values/road-transport/files/pv2_road_parameter_values.pdf" xr:uid="{96BBA1EC-0693-4758-B7E5-83F99CDD83A3}"/>
    <hyperlink ref="B49" r:id="rId3" xr:uid="{3CE78CBB-47E5-4E8B-B1C2-CEBD11BD3541}"/>
    <hyperlink ref="B96" r:id="rId4" xr:uid="{7F747B0C-E885-4EF2-B080-5D777D1BD835}"/>
    <hyperlink ref="B81" r:id="rId5" xr:uid="{DB633C83-3D74-4AAC-8207-7BBDAB2F5941}"/>
  </hyperlinks>
  <pageMargins left="0.7" right="0.7" top="0.75" bottom="0.75" header="0.3" footer="0.3"/>
  <pageSetup orientation="portrait" r:id="rId6"/>
  <tableParts count="1">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C24FF-5DA5-45F6-B558-76C935113068}">
  <sheetPr>
    <tabColor rgb="FF99FFCC"/>
  </sheetPr>
  <dimension ref="A1:AN92"/>
  <sheetViews>
    <sheetView showGridLines="0" zoomScale="55" zoomScaleNormal="55" workbookViewId="0">
      <selection activeCell="C9" sqref="C9"/>
    </sheetView>
  </sheetViews>
  <sheetFormatPr defaultColWidth="8.88671875" defaultRowHeight="15" x14ac:dyDescent="0.2"/>
  <cols>
    <col min="1" max="1" width="14" style="1" customWidth="1"/>
    <col min="2" max="2" width="21.33203125" style="1" customWidth="1"/>
    <col min="3" max="3" width="17.88671875" style="1" customWidth="1"/>
    <col min="4" max="4" width="16.109375" style="1" customWidth="1"/>
    <col min="5" max="5" width="16.5546875" customWidth="1"/>
    <col min="6" max="6" width="18.6640625" customWidth="1"/>
    <col min="7" max="7" width="11.109375" customWidth="1"/>
    <col min="8" max="9" width="13.44140625" customWidth="1"/>
    <col min="10" max="27" width="8" customWidth="1"/>
    <col min="28" max="32" width="8" style="1" customWidth="1"/>
    <col min="33" max="33" width="10" style="1" bestFit="1" customWidth="1"/>
    <col min="34" max="16384" width="8.88671875" style="1"/>
  </cols>
  <sheetData>
    <row r="1" spans="1:40" ht="18" x14ac:dyDescent="0.25">
      <c r="A1" s="2" t="str">
        <f ca="1">MID(CELL("filename",A2),FIND("]",CELL("filename",A2))+1,256)</f>
        <v>User interface</v>
      </c>
    </row>
    <row r="2" spans="1:40" x14ac:dyDescent="0.2">
      <c r="A2" s="6" t="s">
        <v>0</v>
      </c>
    </row>
    <row r="4" spans="1:40" ht="20.25" x14ac:dyDescent="0.3">
      <c r="B4" s="7" t="s">
        <v>28</v>
      </c>
      <c r="C4" s="16"/>
      <c r="D4" s="16"/>
      <c r="E4" s="16"/>
      <c r="F4" s="16"/>
      <c r="G4" s="16"/>
      <c r="H4" s="16"/>
      <c r="AB4"/>
      <c r="AC4"/>
      <c r="AD4"/>
      <c r="AE4"/>
      <c r="AF4"/>
      <c r="AG4"/>
      <c r="AH4"/>
      <c r="AI4"/>
      <c r="AJ4"/>
      <c r="AK4"/>
      <c r="AL4"/>
      <c r="AM4"/>
      <c r="AN4"/>
    </row>
    <row r="6" spans="1:40" ht="15.75" x14ac:dyDescent="0.25">
      <c r="B6" s="17" t="s">
        <v>80</v>
      </c>
      <c r="C6" s="17"/>
    </row>
    <row r="8" spans="1:40" ht="15.75" x14ac:dyDescent="0.25">
      <c r="B8" s="11"/>
      <c r="C8" s="11"/>
    </row>
    <row r="9" spans="1:40" x14ac:dyDescent="0.2">
      <c r="B9" s="3" t="s">
        <v>326</v>
      </c>
      <c r="C9" s="27"/>
    </row>
    <row r="10" spans="1:40" x14ac:dyDescent="0.2">
      <c r="B10" s="3" t="s">
        <v>44</v>
      </c>
      <c r="C10" s="27"/>
    </row>
    <row r="11" spans="1:40" x14ac:dyDescent="0.2">
      <c r="B11" s="3" t="s">
        <v>19</v>
      </c>
      <c r="C11" s="26"/>
    </row>
    <row r="12" spans="1:40" x14ac:dyDescent="0.2">
      <c r="G12" s="1"/>
    </row>
    <row r="13" spans="1:40" ht="15.75" x14ac:dyDescent="0.25">
      <c r="B13" s="11" t="s">
        <v>29</v>
      </c>
      <c r="C13" s="11">
        <v>2021</v>
      </c>
      <c r="D13" s="11">
        <v>2022</v>
      </c>
      <c r="E13" s="11">
        <v>2023</v>
      </c>
      <c r="F13" s="11">
        <v>2024</v>
      </c>
      <c r="G13" s="11">
        <v>2025</v>
      </c>
      <c r="H13" s="11">
        <v>2026</v>
      </c>
      <c r="I13" s="11">
        <v>2027</v>
      </c>
      <c r="J13" s="11">
        <v>2028</v>
      </c>
      <c r="K13" s="11">
        <v>2029</v>
      </c>
      <c r="L13" s="11">
        <v>2030</v>
      </c>
      <c r="M13" s="11">
        <v>2031</v>
      </c>
      <c r="N13" s="11">
        <v>2032</v>
      </c>
      <c r="O13" s="11">
        <v>2033</v>
      </c>
      <c r="P13" s="11">
        <v>2034</v>
      </c>
      <c r="Q13" s="11">
        <v>2035</v>
      </c>
      <c r="R13" s="11">
        <v>2036</v>
      </c>
      <c r="S13" s="11">
        <v>2037</v>
      </c>
      <c r="T13" s="11">
        <v>2038</v>
      </c>
      <c r="U13" s="11">
        <v>2039</v>
      </c>
      <c r="V13" s="11">
        <v>2040</v>
      </c>
      <c r="W13" s="11">
        <v>2041</v>
      </c>
      <c r="X13" s="11">
        <v>2042</v>
      </c>
      <c r="Y13" s="11">
        <v>2043</v>
      </c>
      <c r="Z13" s="11">
        <v>2044</v>
      </c>
      <c r="AA13" s="11">
        <v>2045</v>
      </c>
      <c r="AB13" s="11">
        <v>2046</v>
      </c>
      <c r="AC13" s="11">
        <v>2047</v>
      </c>
      <c r="AD13" s="11">
        <v>2048</v>
      </c>
      <c r="AE13" s="11">
        <v>2049</v>
      </c>
      <c r="AF13" s="11">
        <v>2050</v>
      </c>
    </row>
    <row r="14" spans="1:40" x14ac:dyDescent="0.2">
      <c r="B14" s="3" t="s">
        <v>30</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row>
    <row r="15" spans="1:40" x14ac:dyDescent="0.2">
      <c r="B15" s="3" t="s">
        <v>31</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row>
    <row r="16" spans="1:40" x14ac:dyDescent="0.2">
      <c r="B16" s="3" t="s">
        <v>263</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row>
    <row r="17" spans="2:32" x14ac:dyDescent="0.2">
      <c r="B17" s="3" t="s">
        <v>38</v>
      </c>
      <c r="C17" s="15">
        <f>SUM(C14:C16)</f>
        <v>0</v>
      </c>
      <c r="D17" s="15">
        <f t="shared" ref="D17:AF17" si="0">SUM(D14:D16)</f>
        <v>0</v>
      </c>
      <c r="E17" s="15">
        <f t="shared" si="0"/>
        <v>0</v>
      </c>
      <c r="F17" s="15">
        <f t="shared" si="0"/>
        <v>0</v>
      </c>
      <c r="G17" s="15">
        <f t="shared" si="0"/>
        <v>0</v>
      </c>
      <c r="H17" s="15">
        <f t="shared" si="0"/>
        <v>0</v>
      </c>
      <c r="I17" s="15">
        <f t="shared" si="0"/>
        <v>0</v>
      </c>
      <c r="J17" s="15">
        <f t="shared" si="0"/>
        <v>0</v>
      </c>
      <c r="K17" s="15">
        <f t="shared" si="0"/>
        <v>0</v>
      </c>
      <c r="L17" s="15">
        <f t="shared" si="0"/>
        <v>0</v>
      </c>
      <c r="M17" s="15">
        <f t="shared" si="0"/>
        <v>0</v>
      </c>
      <c r="N17" s="15">
        <f t="shared" si="0"/>
        <v>0</v>
      </c>
      <c r="O17" s="15">
        <f t="shared" si="0"/>
        <v>0</v>
      </c>
      <c r="P17" s="15">
        <f t="shared" si="0"/>
        <v>0</v>
      </c>
      <c r="Q17" s="15">
        <f t="shared" si="0"/>
        <v>0</v>
      </c>
      <c r="R17" s="15">
        <f t="shared" si="0"/>
        <v>0</v>
      </c>
      <c r="S17" s="15">
        <f t="shared" si="0"/>
        <v>0</v>
      </c>
      <c r="T17" s="15">
        <f t="shared" si="0"/>
        <v>0</v>
      </c>
      <c r="U17" s="15">
        <f t="shared" si="0"/>
        <v>0</v>
      </c>
      <c r="V17" s="15">
        <f t="shared" si="0"/>
        <v>0</v>
      </c>
      <c r="W17" s="15">
        <f t="shared" si="0"/>
        <v>0</v>
      </c>
      <c r="X17" s="15">
        <f t="shared" si="0"/>
        <v>0</v>
      </c>
      <c r="Y17" s="15">
        <f t="shared" si="0"/>
        <v>0</v>
      </c>
      <c r="Z17" s="15">
        <f t="shared" si="0"/>
        <v>0</v>
      </c>
      <c r="AA17" s="15">
        <f t="shared" si="0"/>
        <v>0</v>
      </c>
      <c r="AB17" s="15">
        <f t="shared" si="0"/>
        <v>0</v>
      </c>
      <c r="AC17" s="15">
        <f t="shared" si="0"/>
        <v>0</v>
      </c>
      <c r="AD17" s="15">
        <f t="shared" si="0"/>
        <v>0</v>
      </c>
      <c r="AE17" s="15">
        <f t="shared" si="0"/>
        <v>0</v>
      </c>
      <c r="AF17" s="15">
        <f t="shared" si="0"/>
        <v>0</v>
      </c>
    </row>
    <row r="19" spans="2:32" ht="15.75" x14ac:dyDescent="0.25">
      <c r="B19" s="11" t="s">
        <v>82</v>
      </c>
      <c r="C19" s="11">
        <v>2021</v>
      </c>
      <c r="D19" s="11">
        <v>2022</v>
      </c>
      <c r="E19" s="11">
        <v>2023</v>
      </c>
      <c r="F19" s="11">
        <v>2024</v>
      </c>
      <c r="G19" s="11">
        <v>2025</v>
      </c>
      <c r="H19" s="11">
        <v>2026</v>
      </c>
      <c r="I19" s="11">
        <v>2027</v>
      </c>
      <c r="J19" s="11">
        <v>2028</v>
      </c>
      <c r="K19" s="11">
        <v>2029</v>
      </c>
      <c r="L19" s="11">
        <v>2030</v>
      </c>
      <c r="M19" s="11">
        <v>2031</v>
      </c>
      <c r="N19" s="11">
        <v>2032</v>
      </c>
      <c r="O19" s="11">
        <v>2033</v>
      </c>
      <c r="P19" s="11">
        <v>2034</v>
      </c>
      <c r="Q19" s="11">
        <v>2035</v>
      </c>
      <c r="R19" s="11">
        <v>2036</v>
      </c>
      <c r="S19" s="11">
        <v>2037</v>
      </c>
      <c r="T19" s="11">
        <v>2038</v>
      </c>
      <c r="U19" s="11">
        <v>2039</v>
      </c>
      <c r="V19" s="11">
        <v>2040</v>
      </c>
      <c r="W19" s="11">
        <v>2041</v>
      </c>
      <c r="X19" s="11">
        <v>2042</v>
      </c>
      <c r="Y19" s="11">
        <v>2043</v>
      </c>
      <c r="Z19" s="11">
        <v>2044</v>
      </c>
      <c r="AA19" s="11">
        <v>2045</v>
      </c>
      <c r="AB19" s="11">
        <v>2046</v>
      </c>
      <c r="AC19" s="11">
        <v>2047</v>
      </c>
      <c r="AD19" s="11">
        <v>2048</v>
      </c>
      <c r="AE19" s="11">
        <v>2049</v>
      </c>
      <c r="AF19" s="11">
        <v>2050</v>
      </c>
    </row>
    <row r="20" spans="2:32" x14ac:dyDescent="0.2">
      <c r="B20" s="3" t="s">
        <v>30</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row>
    <row r="21" spans="2:32" x14ac:dyDescent="0.2">
      <c r="B21" s="3" t="s">
        <v>31</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row>
    <row r="22" spans="2:32" x14ac:dyDescent="0.2">
      <c r="B22" s="3" t="s">
        <v>263</v>
      </c>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row>
    <row r="23" spans="2:32" x14ac:dyDescent="0.2">
      <c r="B23" s="3" t="s">
        <v>38</v>
      </c>
      <c r="C23" s="15">
        <f>SUM(C20:C22)</f>
        <v>0</v>
      </c>
      <c r="D23" s="15">
        <f t="shared" ref="D23" si="1">SUM(D20:D22)</f>
        <v>0</v>
      </c>
      <c r="E23" s="15">
        <f t="shared" ref="E23" si="2">SUM(E20:E22)</f>
        <v>0</v>
      </c>
      <c r="F23" s="15">
        <f t="shared" ref="F23" si="3">SUM(F20:F22)</f>
        <v>0</v>
      </c>
      <c r="G23" s="15">
        <f t="shared" ref="G23" si="4">SUM(G20:G22)</f>
        <v>0</v>
      </c>
      <c r="H23" s="15">
        <f t="shared" ref="H23" si="5">SUM(H20:H22)</f>
        <v>0</v>
      </c>
      <c r="I23" s="15">
        <f t="shared" ref="I23" si="6">SUM(I20:I22)</f>
        <v>0</v>
      </c>
      <c r="J23" s="15">
        <f t="shared" ref="J23" si="7">SUM(J20:J22)</f>
        <v>0</v>
      </c>
      <c r="K23" s="15">
        <f t="shared" ref="K23" si="8">SUM(K20:K22)</f>
        <v>0</v>
      </c>
      <c r="L23" s="15">
        <f t="shared" ref="L23" si="9">SUM(L20:L22)</f>
        <v>0</v>
      </c>
      <c r="M23" s="15">
        <f t="shared" ref="M23" si="10">SUM(M20:M22)</f>
        <v>0</v>
      </c>
      <c r="N23" s="15">
        <f t="shared" ref="N23" si="11">SUM(N20:N22)</f>
        <v>0</v>
      </c>
      <c r="O23" s="15">
        <f t="shared" ref="O23" si="12">SUM(O20:O22)</f>
        <v>0</v>
      </c>
      <c r="P23" s="15">
        <f t="shared" ref="P23" si="13">SUM(P20:P22)</f>
        <v>0</v>
      </c>
      <c r="Q23" s="15">
        <f t="shared" ref="Q23" si="14">SUM(Q20:Q22)</f>
        <v>0</v>
      </c>
      <c r="R23" s="15">
        <f t="shared" ref="R23" si="15">SUM(R20:R22)</f>
        <v>0</v>
      </c>
      <c r="S23" s="15">
        <f t="shared" ref="S23" si="16">SUM(S20:S22)</f>
        <v>0</v>
      </c>
      <c r="T23" s="15">
        <f t="shared" ref="T23" si="17">SUM(T20:T22)</f>
        <v>0</v>
      </c>
      <c r="U23" s="15">
        <f t="shared" ref="U23" si="18">SUM(U20:U22)</f>
        <v>0</v>
      </c>
      <c r="V23" s="15">
        <f t="shared" ref="V23" si="19">SUM(V20:V22)</f>
        <v>0</v>
      </c>
      <c r="W23" s="15">
        <f t="shared" ref="W23" si="20">SUM(W20:W22)</f>
        <v>0</v>
      </c>
      <c r="X23" s="15">
        <f t="shared" ref="X23" si="21">SUM(X20:X22)</f>
        <v>0</v>
      </c>
      <c r="Y23" s="15">
        <f t="shared" ref="Y23" si="22">SUM(Y20:Y22)</f>
        <v>0</v>
      </c>
      <c r="Z23" s="15">
        <f t="shared" ref="Z23" si="23">SUM(Z20:Z22)</f>
        <v>0</v>
      </c>
      <c r="AA23" s="15">
        <f t="shared" ref="AA23" si="24">SUM(AA20:AA22)</f>
        <v>0</v>
      </c>
      <c r="AB23" s="15">
        <f t="shared" ref="AB23" si="25">SUM(AB20:AB22)</f>
        <v>0</v>
      </c>
      <c r="AC23" s="15">
        <f t="shared" ref="AC23" si="26">SUM(AC20:AC22)</f>
        <v>0</v>
      </c>
      <c r="AD23" s="15">
        <f t="shared" ref="AD23" si="27">SUM(AD20:AD22)</f>
        <v>0</v>
      </c>
      <c r="AE23" s="15">
        <f t="shared" ref="AE23" si="28">SUM(AE20:AE22)</f>
        <v>0</v>
      </c>
      <c r="AF23" s="15">
        <f t="shared" ref="AF23" si="29">SUM(AF20:AF22)</f>
        <v>0</v>
      </c>
    </row>
    <row r="24" spans="2:32" x14ac:dyDescent="0.2">
      <c r="G24" s="1"/>
    </row>
    <row r="25" spans="2:32" ht="15.75" x14ac:dyDescent="0.25">
      <c r="B25" s="17" t="s">
        <v>64</v>
      </c>
      <c r="C25" s="17"/>
    </row>
    <row r="26" spans="2:32" x14ac:dyDescent="0.2">
      <c r="G26" s="1"/>
    </row>
    <row r="27" spans="2:32" ht="15.75" x14ac:dyDescent="0.25">
      <c r="B27" s="11" t="s">
        <v>35</v>
      </c>
      <c r="C27" s="11"/>
      <c r="G27" s="1"/>
    </row>
    <row r="28" spans="2:32" x14ac:dyDescent="0.2">
      <c r="B28" s="3" t="s">
        <v>25</v>
      </c>
      <c r="C28" s="24"/>
      <c r="G28" s="1"/>
    </row>
    <row r="29" spans="2:32" x14ac:dyDescent="0.2">
      <c r="B29" s="3" t="s">
        <v>36</v>
      </c>
      <c r="C29" s="25"/>
      <c r="G29" s="1"/>
    </row>
    <row r="30" spans="2:32" x14ac:dyDescent="0.2">
      <c r="G30" s="1"/>
    </row>
    <row r="31" spans="2:32" ht="15.75" x14ac:dyDescent="0.25">
      <c r="B31" s="11" t="s">
        <v>42</v>
      </c>
      <c r="C31" s="11" t="s">
        <v>35</v>
      </c>
      <c r="E31" s="1"/>
    </row>
    <row r="32" spans="2:32" x14ac:dyDescent="0.2">
      <c r="B32" s="3" t="s">
        <v>37</v>
      </c>
      <c r="C32" s="4"/>
      <c r="E32" s="1"/>
    </row>
    <row r="33" spans="2:9" x14ac:dyDescent="0.2">
      <c r="B33" s="3" t="s">
        <v>122</v>
      </c>
      <c r="C33" s="4"/>
      <c r="E33" s="1"/>
    </row>
    <row r="34" spans="2:9" x14ac:dyDescent="0.2">
      <c r="B34" s="3" t="s">
        <v>123</v>
      </c>
      <c r="C34" s="4"/>
      <c r="E34" s="1"/>
    </row>
    <row r="35" spans="2:9" x14ac:dyDescent="0.2">
      <c r="B35" s="3" t="s">
        <v>40</v>
      </c>
      <c r="C35" s="4"/>
      <c r="E35" s="1"/>
    </row>
    <row r="36" spans="2:9" x14ac:dyDescent="0.2">
      <c r="B36" s="3" t="s">
        <v>41</v>
      </c>
      <c r="C36" s="4"/>
      <c r="E36" s="1"/>
    </row>
    <row r="37" spans="2:9" x14ac:dyDescent="0.2">
      <c r="B37" s="3" t="s">
        <v>84</v>
      </c>
      <c r="C37" s="4"/>
      <c r="E37" s="1"/>
    </row>
    <row r="39" spans="2:9" ht="15.75" x14ac:dyDescent="0.25">
      <c r="B39" s="11" t="s">
        <v>22</v>
      </c>
      <c r="C39" s="12" t="s">
        <v>23</v>
      </c>
      <c r="D39" s="12" t="s">
        <v>68</v>
      </c>
    </row>
    <row r="40" spans="2:9" x14ac:dyDescent="0.2">
      <c r="B40" s="3" t="s">
        <v>34</v>
      </c>
      <c r="C40" s="18">
        <v>80</v>
      </c>
      <c r="D40" s="18">
        <v>60</v>
      </c>
    </row>
    <row r="41" spans="2:9" x14ac:dyDescent="0.2">
      <c r="B41" s="3" t="s">
        <v>79</v>
      </c>
      <c r="C41" s="18"/>
      <c r="D41" s="18"/>
    </row>
    <row r="42" spans="2:9" x14ac:dyDescent="0.2">
      <c r="B42" s="3" t="s">
        <v>130</v>
      </c>
      <c r="C42" s="27"/>
      <c r="D42" s="27"/>
    </row>
    <row r="43" spans="2:9" x14ac:dyDescent="0.2">
      <c r="E43" s="1"/>
    </row>
    <row r="44" spans="2:9" ht="15.75" x14ac:dyDescent="0.25">
      <c r="B44" s="17" t="s">
        <v>67</v>
      </c>
      <c r="C44" s="17"/>
      <c r="D44" s="17"/>
      <c r="E44" s="17"/>
      <c r="F44" s="17"/>
      <c r="G44" s="17"/>
      <c r="H44" s="17"/>
    </row>
    <row r="46" spans="2:9" ht="15.75" x14ac:dyDescent="0.25">
      <c r="B46" s="11" t="s">
        <v>69</v>
      </c>
      <c r="C46" s="140" t="s">
        <v>70</v>
      </c>
      <c r="D46" s="140"/>
      <c r="E46" s="140"/>
      <c r="F46" s="140" t="s">
        <v>72</v>
      </c>
      <c r="G46" s="140"/>
      <c r="H46" s="140"/>
      <c r="I46" s="11"/>
    </row>
    <row r="47" spans="2:9" ht="15.75" x14ac:dyDescent="0.25">
      <c r="B47" s="11"/>
      <c r="C47" s="11" t="s">
        <v>36</v>
      </c>
      <c r="D47" s="11" t="s">
        <v>45</v>
      </c>
      <c r="E47" s="11" t="s">
        <v>71</v>
      </c>
      <c r="F47" s="11" t="s">
        <v>36</v>
      </c>
      <c r="G47" s="11" t="s">
        <v>45</v>
      </c>
      <c r="H47" s="11" t="s">
        <v>71</v>
      </c>
      <c r="I47" s="11" t="s">
        <v>327</v>
      </c>
    </row>
    <row r="48" spans="2:9" x14ac:dyDescent="0.2">
      <c r="B48" s="4" t="s">
        <v>73</v>
      </c>
      <c r="C48" s="4"/>
      <c r="D48" s="4"/>
      <c r="E48" s="15">
        <f>IFERROR(INDEX(Lists!$C$28:$G$32,MATCH($C48,Lists!$B$28:$B$32,0),MATCH($D48,Lists!$C$27:$G$27,0)),)</f>
        <v>0</v>
      </c>
      <c r="F48" s="4"/>
      <c r="G48" s="4"/>
      <c r="H48" s="15">
        <f>IFERROR(INDEX(Lists!$C$28:$G$32,MATCH($F48,Lists!$B$28:$B$32,0),MATCH($G48,Lists!$C$27:$G$27,0)),)</f>
        <v>0</v>
      </c>
      <c r="I48" s="25"/>
    </row>
    <row r="49" spans="2:9" x14ac:dyDescent="0.2">
      <c r="B49" s="4" t="s">
        <v>74</v>
      </c>
      <c r="C49" s="4"/>
      <c r="D49" s="4"/>
      <c r="E49" s="15">
        <f>IFERROR(INDEX(Lists!$C$28:$G$32,MATCH($C49,Lists!$B$28:$B$32,0),MATCH($D49,Lists!$C$27:$G$27,0)),)</f>
        <v>0</v>
      </c>
      <c r="F49" s="4"/>
      <c r="G49" s="4"/>
      <c r="H49" s="15">
        <f>IFERROR(INDEX(Lists!$C$28:$G$32,MATCH($F49,Lists!$B$28:$B$32,0),MATCH($G49,Lists!$C$27:$G$27,0)),)</f>
        <v>0</v>
      </c>
      <c r="I49" s="25"/>
    </row>
    <row r="50" spans="2:9" x14ac:dyDescent="0.2">
      <c r="B50" s="4" t="s">
        <v>75</v>
      </c>
      <c r="C50" s="4"/>
      <c r="D50" s="4"/>
      <c r="E50" s="15">
        <f>IFERROR(INDEX(Lists!$C$28:$G$32,MATCH($C50,Lists!$B$28:$B$32,0),MATCH($D50,Lists!$C$27:$G$27,0)),)</f>
        <v>0</v>
      </c>
      <c r="F50" s="4"/>
      <c r="G50" s="4"/>
      <c r="H50" s="15">
        <f>IFERROR(INDEX(Lists!$C$28:$G$32,MATCH($F50,Lists!$B$28:$B$32,0),MATCH($G50,Lists!$C$27:$G$27,0)),)</f>
        <v>0</v>
      </c>
      <c r="I50" s="25"/>
    </row>
    <row r="51" spans="2:9" x14ac:dyDescent="0.2">
      <c r="B51" s="4" t="s">
        <v>76</v>
      </c>
      <c r="C51" s="4"/>
      <c r="D51" s="4"/>
      <c r="E51" s="15">
        <f>IFERROR(INDEX(Lists!$C$28:$G$32,MATCH($C51,Lists!$B$28:$B$32,0),MATCH($D51,Lists!$C$27:$G$27,0)),)</f>
        <v>0</v>
      </c>
      <c r="F51" s="4"/>
      <c r="G51" s="4"/>
      <c r="H51" s="15">
        <f>IFERROR(INDEX(Lists!$C$28:$G$32,MATCH($F51,Lists!$B$28:$B$32,0),MATCH($G51,Lists!$C$27:$G$27,0)),)</f>
        <v>0</v>
      </c>
      <c r="I51" s="25"/>
    </row>
    <row r="52" spans="2:9" x14ac:dyDescent="0.2">
      <c r="B52" s="4" t="s">
        <v>77</v>
      </c>
      <c r="C52" s="4"/>
      <c r="D52" s="4"/>
      <c r="E52" s="15">
        <f>IFERROR(INDEX(Lists!$C$28:$G$32,MATCH($C52,Lists!$B$28:$B$32,0),MATCH($D52,Lists!$C$27:$G$27,0)),)</f>
        <v>0</v>
      </c>
      <c r="F52" s="4"/>
      <c r="G52" s="4"/>
      <c r="H52" s="15">
        <f>IFERROR(INDEX(Lists!$C$28:$G$32,MATCH($F52,Lists!$B$28:$B$32,0),MATCH($G52,Lists!$C$27:$G$27,0)),)</f>
        <v>0</v>
      </c>
      <c r="I52" s="25"/>
    </row>
    <row r="53" spans="2:9" x14ac:dyDescent="0.2">
      <c r="B53" s="4" t="s">
        <v>280</v>
      </c>
      <c r="C53" s="4"/>
      <c r="D53" s="4"/>
      <c r="E53" s="15">
        <f>IFERROR(INDEX(Lists!$C$28:$G$32,MATCH($C53,Lists!$B$28:$B$32,0),MATCH($D53,Lists!$C$27:$G$27,0)),)</f>
        <v>0</v>
      </c>
      <c r="F53" s="4"/>
      <c r="G53" s="4"/>
      <c r="H53" s="15">
        <f>IFERROR(INDEX(Lists!$C$28:$G$32,MATCH($F53,Lists!$B$28:$B$32,0),MATCH($G53,Lists!$C$27:$G$27,0)),)</f>
        <v>0</v>
      </c>
      <c r="I53" s="25"/>
    </row>
    <row r="54" spans="2:9" x14ac:dyDescent="0.2">
      <c r="I54" s="96">
        <f>SUM(I48:I53)</f>
        <v>0</v>
      </c>
    </row>
    <row r="55" spans="2:9" ht="15.75" x14ac:dyDescent="0.25">
      <c r="B55" s="17" t="s">
        <v>287</v>
      </c>
      <c r="C55" s="17"/>
      <c r="D55" s="17"/>
      <c r="E55" s="17"/>
      <c r="F55" s="17"/>
      <c r="G55" s="17"/>
      <c r="H55" s="17"/>
    </row>
    <row r="57" spans="2:9" ht="15.75" x14ac:dyDescent="0.25">
      <c r="B57" s="11"/>
      <c r="C57" s="11"/>
    </row>
    <row r="58" spans="2:9" x14ac:dyDescent="0.2">
      <c r="B58" s="3" t="s">
        <v>70</v>
      </c>
      <c r="C58" s="4"/>
    </row>
    <row r="59" spans="2:9" x14ac:dyDescent="0.2">
      <c r="B59" s="3" t="s">
        <v>72</v>
      </c>
      <c r="C59" s="4"/>
    </row>
    <row r="61" spans="2:9" ht="20.25" x14ac:dyDescent="0.3">
      <c r="B61" s="16" t="s">
        <v>78</v>
      </c>
      <c r="C61" s="16"/>
      <c r="D61" s="16"/>
      <c r="E61" s="16"/>
      <c r="F61" s="16"/>
      <c r="G61" s="16"/>
      <c r="H61" s="16"/>
    </row>
    <row r="63" spans="2:9" ht="15.75" x14ac:dyDescent="0.25">
      <c r="B63" s="17" t="s">
        <v>294</v>
      </c>
      <c r="C63" s="17"/>
      <c r="D63" s="17"/>
      <c r="F63" s="17" t="s">
        <v>331</v>
      </c>
      <c r="G63" s="17"/>
      <c r="H63" s="17"/>
    </row>
    <row r="64" spans="2:9" x14ac:dyDescent="0.2">
      <c r="F64" s="1"/>
      <c r="G64" s="1"/>
    </row>
    <row r="65" spans="2:8" ht="15.75" x14ac:dyDescent="0.25">
      <c r="B65" s="11"/>
      <c r="C65" s="11" t="s">
        <v>323</v>
      </c>
      <c r="D65" s="11" t="s">
        <v>268</v>
      </c>
      <c r="F65" s="11" t="s">
        <v>46</v>
      </c>
      <c r="G65" s="12" t="s">
        <v>323</v>
      </c>
      <c r="H65" s="12" t="s">
        <v>328</v>
      </c>
    </row>
    <row r="66" spans="2:8" x14ac:dyDescent="0.2">
      <c r="B66" s="89" t="s">
        <v>338</v>
      </c>
      <c r="C66" s="106">
        <f>Calculations!C97</f>
        <v>0</v>
      </c>
      <c r="D66" s="106">
        <f>Calculations!D97</f>
        <v>0</v>
      </c>
      <c r="F66" s="3" t="s">
        <v>329</v>
      </c>
      <c r="G66" s="106">
        <f>MAX(E48:E53)</f>
        <v>0</v>
      </c>
      <c r="H66" s="106">
        <f>MAX(H48:H53)</f>
        <v>0</v>
      </c>
    </row>
    <row r="67" spans="2:8" x14ac:dyDescent="0.2">
      <c r="B67" s="89" t="s">
        <v>339</v>
      </c>
      <c r="C67" s="106">
        <f>Calculations!C98</f>
        <v>0</v>
      </c>
      <c r="D67" s="106">
        <f>Calculations!D98</f>
        <v>0</v>
      </c>
      <c r="F67" s="3" t="s">
        <v>330</v>
      </c>
      <c r="G67" s="106">
        <f>SUMPRODUCT(E48:E53,$I$48:$I$53)</f>
        <v>0</v>
      </c>
      <c r="H67" s="106">
        <f>SUMPRODUCT(H48:H53,$I$48:$I$53)</f>
        <v>0</v>
      </c>
    </row>
    <row r="68" spans="2:8" x14ac:dyDescent="0.2">
      <c r="B68" s="89" t="s">
        <v>340</v>
      </c>
      <c r="C68" s="106">
        <f>Calculations!C99</f>
        <v>0</v>
      </c>
      <c r="D68" s="106">
        <f>Calculations!D99</f>
        <v>0</v>
      </c>
      <c r="F68" s="1"/>
      <c r="G68" s="1"/>
      <c r="H68" s="1"/>
    </row>
    <row r="69" spans="2:8" ht="15.75" x14ac:dyDescent="0.25">
      <c r="B69" s="89" t="s">
        <v>341</v>
      </c>
      <c r="C69" s="106">
        <f>Calculations!C100</f>
        <v>0</v>
      </c>
      <c r="D69" s="106">
        <f>Calculations!D100</f>
        <v>0</v>
      </c>
      <c r="F69" s="17" t="s">
        <v>332</v>
      </c>
      <c r="G69" s="17"/>
      <c r="H69" s="17"/>
    </row>
    <row r="70" spans="2:8" x14ac:dyDescent="0.2">
      <c r="B70" s="89" t="s">
        <v>30</v>
      </c>
      <c r="C70" s="106">
        <f>Calculations!C106</f>
        <v>0</v>
      </c>
      <c r="D70" s="106">
        <f>Calculations!D106</f>
        <v>0</v>
      </c>
    </row>
    <row r="71" spans="2:8" ht="15.75" x14ac:dyDescent="0.25">
      <c r="B71" s="89" t="s">
        <v>31</v>
      </c>
      <c r="C71" s="106">
        <f>Calculations!C107</f>
        <v>0</v>
      </c>
      <c r="D71" s="106">
        <f>Calculations!D107</f>
        <v>0</v>
      </c>
      <c r="F71" s="11"/>
      <c r="G71" s="12" t="s">
        <v>323</v>
      </c>
      <c r="H71" s="12" t="s">
        <v>328</v>
      </c>
    </row>
    <row r="72" spans="2:8" x14ac:dyDescent="0.2">
      <c r="B72" s="89" t="s">
        <v>263</v>
      </c>
      <c r="C72" s="106">
        <f>Calculations!C108</f>
        <v>0</v>
      </c>
      <c r="D72" s="106">
        <f>Calculations!D108</f>
        <v>0</v>
      </c>
      <c r="F72" s="3" t="s">
        <v>287</v>
      </c>
      <c r="G72" s="106">
        <f>C58</f>
        <v>0</v>
      </c>
      <c r="H72" s="106">
        <f>C59</f>
        <v>0</v>
      </c>
    </row>
    <row r="73" spans="2:8" ht="15.75" x14ac:dyDescent="0.25">
      <c r="B73" s="105" t="s">
        <v>38</v>
      </c>
      <c r="C73" s="106">
        <f>SUM(C66:C72)</f>
        <v>0</v>
      </c>
      <c r="D73" s="106">
        <f>SUM(D66:D72)</f>
        <v>0</v>
      </c>
      <c r="E73" s="124"/>
    </row>
    <row r="75" spans="2:8" ht="15.75" x14ac:dyDescent="0.25">
      <c r="B75" s="11" t="s">
        <v>337</v>
      </c>
      <c r="C75" s="11" t="s">
        <v>24</v>
      </c>
    </row>
    <row r="76" spans="2:8" x14ac:dyDescent="0.2">
      <c r="B76" s="89" t="s">
        <v>333</v>
      </c>
      <c r="C76" s="106">
        <f>Calculations!E97</f>
        <v>0</v>
      </c>
    </row>
    <row r="77" spans="2:8" x14ac:dyDescent="0.2">
      <c r="B77" s="89" t="s">
        <v>334</v>
      </c>
      <c r="C77" s="106">
        <f>Calculations!E98</f>
        <v>0</v>
      </c>
    </row>
    <row r="78" spans="2:8" x14ac:dyDescent="0.2">
      <c r="B78" s="89" t="s">
        <v>335</v>
      </c>
      <c r="C78" s="106">
        <f>Calculations!E99</f>
        <v>0</v>
      </c>
    </row>
    <row r="79" spans="2:8" x14ac:dyDescent="0.2">
      <c r="B79" s="89" t="s">
        <v>336</v>
      </c>
      <c r="C79" s="106">
        <f>Calculations!E100</f>
        <v>0</v>
      </c>
    </row>
    <row r="80" spans="2:8" ht="15.75" x14ac:dyDescent="0.25">
      <c r="B80" s="105" t="s">
        <v>295</v>
      </c>
      <c r="C80" s="107">
        <f>Calculations!E101</f>
        <v>0</v>
      </c>
    </row>
    <row r="81" spans="2:5" x14ac:dyDescent="0.2">
      <c r="B81" s="89" t="s">
        <v>30</v>
      </c>
      <c r="C81" s="106">
        <f>Calculations!E106</f>
        <v>0</v>
      </c>
    </row>
    <row r="82" spans="2:5" x14ac:dyDescent="0.2">
      <c r="B82" s="89" t="s">
        <v>31</v>
      </c>
      <c r="C82" s="106">
        <f>Calculations!E107</f>
        <v>0</v>
      </c>
    </row>
    <row r="83" spans="2:5" x14ac:dyDescent="0.2">
      <c r="B83" s="89" t="s">
        <v>263</v>
      </c>
      <c r="C83" s="106">
        <f>Calculations!E108</f>
        <v>0</v>
      </c>
    </row>
    <row r="84" spans="2:5" ht="15.75" x14ac:dyDescent="0.25">
      <c r="B84" s="105" t="s">
        <v>296</v>
      </c>
      <c r="C84" s="107">
        <f>Calculations!E109</f>
        <v>0</v>
      </c>
    </row>
    <row r="85" spans="2:5" ht="15.75" x14ac:dyDescent="0.25">
      <c r="B85" s="105" t="s">
        <v>24</v>
      </c>
      <c r="C85" s="107">
        <f>C80-C84</f>
        <v>0</v>
      </c>
    </row>
    <row r="86" spans="2:5" ht="15.75" x14ac:dyDescent="0.25">
      <c r="B86" s="105" t="s">
        <v>286</v>
      </c>
      <c r="C86" s="108" t="e">
        <f>C80/C84</f>
        <v>#DIV/0!</v>
      </c>
    </row>
    <row r="88" spans="2:5" ht="15.75" x14ac:dyDescent="0.25">
      <c r="B88" s="17" t="s">
        <v>297</v>
      </c>
      <c r="C88" s="17"/>
      <c r="D88" s="17"/>
      <c r="E88" s="17"/>
    </row>
    <row r="90" spans="2:5" ht="15.75" x14ac:dyDescent="0.25">
      <c r="B90" s="11"/>
      <c r="C90" s="11" t="s">
        <v>323</v>
      </c>
      <c r="D90" s="11" t="s">
        <v>268</v>
      </c>
      <c r="E90" s="11" t="s">
        <v>81</v>
      </c>
    </row>
    <row r="91" spans="2:5" x14ac:dyDescent="0.2">
      <c r="B91" s="3" t="s">
        <v>270</v>
      </c>
      <c r="C91" s="103">
        <f>Calculations!D130</f>
        <v>0</v>
      </c>
      <c r="D91" s="103">
        <f>Calculations!E130</f>
        <v>0</v>
      </c>
      <c r="E91" s="103">
        <f>Calculations!F130</f>
        <v>0</v>
      </c>
    </row>
    <row r="92" spans="2:5" x14ac:dyDescent="0.2">
      <c r="B92" s="3" t="s">
        <v>274</v>
      </c>
      <c r="C92" s="106">
        <f>Calculations!D141</f>
        <v>0</v>
      </c>
      <c r="D92" s="106">
        <f>Calculations!E141</f>
        <v>0</v>
      </c>
      <c r="E92" s="106">
        <f>Calculations!F141</f>
        <v>0</v>
      </c>
    </row>
  </sheetData>
  <mergeCells count="2">
    <mergeCell ref="C46:E46"/>
    <mergeCell ref="F46:H4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5D475766-9084-49DA-A699-C5E02A30CC8A}">
          <x14:formula1>
            <xm:f>Lists!$E$9:$E$10</xm:f>
          </x14:formula1>
          <xm:sqref>C32:C37</xm:sqref>
        </x14:dataValidation>
        <x14:dataValidation type="list" allowBlank="1" showInputMessage="1" showErrorMessage="1" xr:uid="{1951C3C9-FB4D-44A8-BEC3-D2FDC2AB7954}">
          <x14:formula1>
            <xm:f>Lists!$D$9:$D$10</xm:f>
          </x14:formula1>
          <xm:sqref>C10</xm:sqref>
        </x14:dataValidation>
        <x14:dataValidation type="list" allowBlank="1" showInputMessage="1" showErrorMessage="1" xr:uid="{3FB3054A-AA21-4BEF-B142-A8B61F0EED8B}">
          <x14:formula1>
            <xm:f>Lists!$F$9:$F$11</xm:f>
          </x14:formula1>
          <xm:sqref>C42:D42</xm:sqref>
        </x14:dataValidation>
        <x14:dataValidation type="list" allowBlank="1" showInputMessage="1" showErrorMessage="1" xr:uid="{8D8DCC37-307C-4872-A72D-6D209431A00D}">
          <x14:formula1>
            <xm:f>Lists!$B$28:$B$32</xm:f>
          </x14:formula1>
          <xm:sqref>C48:C53 F48:F53</xm:sqref>
        </x14:dataValidation>
        <x14:dataValidation type="list" allowBlank="1" showInputMessage="1" showErrorMessage="1" xr:uid="{92325490-B37C-46CB-9679-66FA5095C970}">
          <x14:formula1>
            <xm:f>Lists!$C$27:$G$27</xm:f>
          </x14:formula1>
          <xm:sqref>E38 D48:D53 G48:G53</xm:sqref>
        </x14:dataValidation>
        <x14:dataValidation type="list" allowBlank="1" showInputMessage="1" showErrorMessage="1" xr:uid="{B1C262F2-6280-48F0-BCBD-D97669AA7C7A}">
          <x14:formula1>
            <xm:f>Lists!$G$9:$G$23</xm:f>
          </x14:formula1>
          <xm:sqref>C28</xm:sqref>
        </x14:dataValidation>
        <x14:dataValidation type="list" allowBlank="1" showInputMessage="1" showErrorMessage="1" xr:uid="{191DD0A5-CE4F-466F-95B1-A1B1D8A6635E}">
          <x14:formula1>
            <xm:f>Lists!H$9:H$13</xm:f>
          </x14:formula1>
          <xm:sqref>C58:C59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18F3F-6B2E-4DD0-AC49-84AEC5575F36}">
  <sheetPr>
    <tabColor theme="0"/>
  </sheetPr>
  <dimension ref="A1:AA33"/>
  <sheetViews>
    <sheetView showGridLines="0" zoomScale="70" zoomScaleNormal="70" workbookViewId="0">
      <selection activeCell="A5" sqref="A5"/>
    </sheetView>
  </sheetViews>
  <sheetFormatPr defaultColWidth="8.88671875" defaultRowHeight="15" x14ac:dyDescent="0.2"/>
  <cols>
    <col min="1" max="1" width="18.5546875" style="1" customWidth="1"/>
    <col min="2" max="3" width="30.88671875" style="1" customWidth="1"/>
    <col min="4" max="4" width="12" style="1" customWidth="1"/>
    <col min="5" max="10" width="12" customWidth="1"/>
    <col min="11" max="27" width="8.6640625" customWidth="1"/>
    <col min="28" max="16384" width="8.88671875" style="1"/>
  </cols>
  <sheetData>
    <row r="1" spans="1:5" ht="18" x14ac:dyDescent="0.25">
      <c r="A1" s="2" t="str">
        <f ca="1">MID(CELL("filename",A2),FIND("]",CELL("filename",A2))+1,256)</f>
        <v>Calculations  =&gt;</v>
      </c>
    </row>
    <row r="2" spans="1:5" x14ac:dyDescent="0.2">
      <c r="A2" s="6" t="s">
        <v>0</v>
      </c>
    </row>
    <row r="4" spans="1:5" x14ac:dyDescent="0.2">
      <c r="E4" s="1"/>
    </row>
    <row r="5" spans="1:5" x14ac:dyDescent="0.2">
      <c r="E5" s="1"/>
    </row>
    <row r="6" spans="1:5" x14ac:dyDescent="0.2">
      <c r="E6" s="1"/>
    </row>
    <row r="7" spans="1:5" x14ac:dyDescent="0.2">
      <c r="E7" s="1"/>
    </row>
    <row r="8" spans="1:5" x14ac:dyDescent="0.2">
      <c r="E8" s="1"/>
    </row>
    <row r="9" spans="1:5" x14ac:dyDescent="0.2">
      <c r="E9" s="1"/>
    </row>
    <row r="10" spans="1:5" x14ac:dyDescent="0.2">
      <c r="E10" s="1"/>
    </row>
    <row r="11" spans="1:5" x14ac:dyDescent="0.2">
      <c r="E11" s="1"/>
    </row>
    <row r="12" spans="1:5" customFormat="1" x14ac:dyDescent="0.2">
      <c r="B12" s="1"/>
      <c r="C12" s="1"/>
      <c r="D12" s="1"/>
      <c r="E12" s="1"/>
    </row>
    <row r="13" spans="1:5" customFormat="1" x14ac:dyDescent="0.2">
      <c r="B13" s="1"/>
      <c r="C13" s="1"/>
      <c r="D13" s="1"/>
      <c r="E13" s="1"/>
    </row>
    <row r="14" spans="1:5" customFormat="1" x14ac:dyDescent="0.2">
      <c r="B14" s="1"/>
      <c r="C14" s="1"/>
      <c r="D14" s="1"/>
      <c r="E14" s="1"/>
    </row>
    <row r="15" spans="1:5" customFormat="1" x14ac:dyDescent="0.2">
      <c r="B15" s="1"/>
      <c r="C15" s="1"/>
      <c r="D15" s="1"/>
      <c r="E15" s="1"/>
    </row>
    <row r="16" spans="1:5" customFormat="1" x14ac:dyDescent="0.2">
      <c r="B16" s="1"/>
      <c r="C16" s="1"/>
      <c r="D16" s="1"/>
      <c r="E16" s="1"/>
    </row>
    <row r="17" spans="2:5" customFormat="1" x14ac:dyDescent="0.2">
      <c r="B17" s="1"/>
      <c r="C17" s="1"/>
      <c r="D17" s="1"/>
      <c r="E17" s="1"/>
    </row>
    <row r="18" spans="2:5" customFormat="1" x14ac:dyDescent="0.2">
      <c r="B18" s="1"/>
      <c r="C18" s="1"/>
      <c r="D18" s="1"/>
      <c r="E18" s="1"/>
    </row>
    <row r="19" spans="2:5" customFormat="1" x14ac:dyDescent="0.2">
      <c r="B19" s="1"/>
      <c r="C19" s="1"/>
      <c r="D19" s="1"/>
      <c r="E19" s="1"/>
    </row>
    <row r="20" spans="2:5" x14ac:dyDescent="0.2">
      <c r="E20" s="1"/>
    </row>
    <row r="21" spans="2:5" x14ac:dyDescent="0.2">
      <c r="E21" s="1"/>
    </row>
    <row r="22" spans="2:5" customFormat="1" x14ac:dyDescent="0.2"/>
    <row r="23" spans="2:5" customFormat="1" x14ac:dyDescent="0.2"/>
    <row r="24" spans="2:5" customFormat="1" x14ac:dyDescent="0.2"/>
    <row r="25" spans="2:5" customFormat="1" x14ac:dyDescent="0.2"/>
    <row r="26" spans="2:5" customFormat="1" x14ac:dyDescent="0.2"/>
    <row r="27" spans="2:5" customFormat="1" x14ac:dyDescent="0.2"/>
    <row r="28" spans="2:5" customFormat="1" x14ac:dyDescent="0.2"/>
    <row r="29" spans="2:5" customFormat="1" x14ac:dyDescent="0.2"/>
    <row r="30" spans="2:5" customFormat="1" x14ac:dyDescent="0.2"/>
    <row r="31" spans="2:5" customFormat="1" x14ac:dyDescent="0.2"/>
    <row r="32" spans="2:5" customFormat="1" x14ac:dyDescent="0.2"/>
    <row r="33" customFormat="1" x14ac:dyDescent="0.2"/>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935BF-C53A-42D8-93FB-086E7035C623}">
  <sheetPr>
    <tabColor rgb="FF99FFCC"/>
  </sheetPr>
  <dimension ref="A1:AG141"/>
  <sheetViews>
    <sheetView showGridLines="0" zoomScale="70" zoomScaleNormal="70" workbookViewId="0">
      <selection activeCell="E97" sqref="E97"/>
    </sheetView>
  </sheetViews>
  <sheetFormatPr defaultColWidth="8.88671875" defaultRowHeight="15" x14ac:dyDescent="0.2"/>
  <cols>
    <col min="1" max="1" width="14.33203125" style="1" customWidth="1"/>
    <col min="2" max="2" width="19" style="1" customWidth="1"/>
    <col min="3" max="3" width="13.44140625" style="1" customWidth="1"/>
    <col min="4" max="4" width="13.109375" style="1" customWidth="1"/>
    <col min="5" max="5" width="12" customWidth="1"/>
    <col min="6" max="6" width="9.44140625" customWidth="1"/>
    <col min="7" max="7" width="18.5546875" customWidth="1"/>
    <col min="8" max="8" width="11.33203125" bestFit="1" customWidth="1"/>
    <col min="9" max="27" width="9.44140625" bestFit="1" customWidth="1"/>
    <col min="28" max="32" width="9.44140625" style="1" bestFit="1" customWidth="1"/>
    <col min="33" max="33" width="10" style="1" bestFit="1" customWidth="1"/>
    <col min="34" max="16384" width="8.88671875" style="1"/>
  </cols>
  <sheetData>
    <row r="1" spans="1:33" ht="18" x14ac:dyDescent="0.25">
      <c r="A1" s="2" t="str">
        <f ca="1">MID(CELL("filename",A2),FIND("]",CELL("filename",A2))+1,256)</f>
        <v>Calculations</v>
      </c>
    </row>
    <row r="2" spans="1:33" x14ac:dyDescent="0.2">
      <c r="A2" s="6" t="s">
        <v>0</v>
      </c>
    </row>
    <row r="4" spans="1:33" ht="20.25" x14ac:dyDescent="0.3">
      <c r="B4" s="16" t="s">
        <v>264</v>
      </c>
      <c r="C4" s="16"/>
      <c r="D4" s="16"/>
      <c r="E4" s="16"/>
      <c r="F4" s="16"/>
      <c r="G4" s="16"/>
      <c r="H4" s="16"/>
      <c r="I4" s="16"/>
      <c r="J4" s="16"/>
      <c r="K4" s="16"/>
      <c r="L4" s="16"/>
      <c r="M4" s="16"/>
      <c r="N4" s="16"/>
      <c r="O4" s="16"/>
      <c r="P4" s="16"/>
      <c r="Q4" s="16"/>
      <c r="R4" s="16"/>
      <c r="S4" s="16"/>
      <c r="T4" s="16"/>
      <c r="U4" s="16"/>
      <c r="V4" s="16"/>
      <c r="AB4"/>
      <c r="AC4"/>
      <c r="AD4"/>
      <c r="AE4"/>
      <c r="AF4"/>
      <c r="AG4"/>
    </row>
    <row r="5" spans="1:33" x14ac:dyDescent="0.2">
      <c r="AB5"/>
      <c r="AC5"/>
      <c r="AD5"/>
      <c r="AE5"/>
      <c r="AF5"/>
      <c r="AG5"/>
    </row>
    <row r="6" spans="1:33" ht="15.75" x14ac:dyDescent="0.25">
      <c r="B6" s="17" t="s">
        <v>180</v>
      </c>
      <c r="C6" s="17"/>
      <c r="D6" s="17"/>
      <c r="E6" s="17"/>
      <c r="F6" s="17"/>
      <c r="G6" s="17"/>
      <c r="H6" s="17"/>
      <c r="I6" s="17"/>
      <c r="J6" s="17"/>
      <c r="K6" s="17"/>
      <c r="L6" s="17"/>
      <c r="M6" s="17"/>
      <c r="N6" s="17"/>
      <c r="O6" s="17"/>
      <c r="P6" s="17"/>
      <c r="Q6" s="17"/>
      <c r="R6" s="17"/>
      <c r="S6" s="17"/>
      <c r="T6" s="17"/>
      <c r="U6" s="17"/>
      <c r="V6" s="17"/>
      <c r="AB6"/>
      <c r="AC6"/>
      <c r="AD6"/>
      <c r="AE6"/>
      <c r="AF6"/>
      <c r="AG6"/>
    </row>
    <row r="8" spans="1:33" ht="15.75" x14ac:dyDescent="0.25">
      <c r="B8" s="11" t="s">
        <v>25</v>
      </c>
      <c r="C8" s="11">
        <v>2021</v>
      </c>
      <c r="D8" s="11">
        <v>2022</v>
      </c>
      <c r="E8" s="11">
        <v>2023</v>
      </c>
      <c r="F8" s="11">
        <v>2024</v>
      </c>
      <c r="G8" s="11">
        <v>2025</v>
      </c>
      <c r="H8" s="11">
        <v>2026</v>
      </c>
      <c r="I8" s="11">
        <v>2027</v>
      </c>
      <c r="J8" s="11">
        <v>2028</v>
      </c>
      <c r="K8" s="11">
        <v>2029</v>
      </c>
      <c r="L8" s="11">
        <v>2030</v>
      </c>
      <c r="M8" s="11">
        <v>2031</v>
      </c>
      <c r="N8" s="11">
        <v>2032</v>
      </c>
      <c r="O8" s="11">
        <v>2033</v>
      </c>
      <c r="P8" s="11">
        <v>2034</v>
      </c>
      <c r="Q8" s="11">
        <v>2035</v>
      </c>
      <c r="R8" s="11">
        <v>2036</v>
      </c>
      <c r="S8" s="11">
        <v>2037</v>
      </c>
      <c r="T8" s="11">
        <v>2038</v>
      </c>
      <c r="U8" s="11">
        <v>2039</v>
      </c>
      <c r="V8" s="11">
        <v>2040</v>
      </c>
      <c r="W8" s="11">
        <v>2041</v>
      </c>
      <c r="X8" s="11">
        <v>2042</v>
      </c>
      <c r="Y8" s="11">
        <v>2043</v>
      </c>
      <c r="Z8" s="11">
        <v>2044</v>
      </c>
      <c r="AA8" s="11">
        <v>2045</v>
      </c>
      <c r="AB8" s="11">
        <v>2046</v>
      </c>
      <c r="AC8" s="11">
        <v>2047</v>
      </c>
      <c r="AD8" s="11">
        <v>2048</v>
      </c>
      <c r="AE8" s="11">
        <v>2049</v>
      </c>
      <c r="AF8" s="11">
        <v>2050</v>
      </c>
    </row>
    <row r="9" spans="1:33" x14ac:dyDescent="0.2">
      <c r="B9" s="3" t="s">
        <v>37</v>
      </c>
      <c r="C9" s="72">
        <f>AADT*365*Originalroute_length*'Vehicle mix and value of time'!$E9</f>
        <v>0</v>
      </c>
      <c r="D9" s="19">
        <f t="shared" ref="D9:U9" si="0">C9*(1+Traffic_Growth)</f>
        <v>0</v>
      </c>
      <c r="E9" s="20">
        <f t="shared" si="0"/>
        <v>0</v>
      </c>
      <c r="F9" s="20">
        <f t="shared" si="0"/>
        <v>0</v>
      </c>
      <c r="G9" s="20">
        <f t="shared" si="0"/>
        <v>0</v>
      </c>
      <c r="H9" s="20">
        <f t="shared" si="0"/>
        <v>0</v>
      </c>
      <c r="I9" s="20">
        <f t="shared" si="0"/>
        <v>0</v>
      </c>
      <c r="J9" s="20">
        <f t="shared" si="0"/>
        <v>0</v>
      </c>
      <c r="K9" s="20">
        <f t="shared" si="0"/>
        <v>0</v>
      </c>
      <c r="L9" s="20">
        <f t="shared" si="0"/>
        <v>0</v>
      </c>
      <c r="M9" s="20">
        <f t="shared" si="0"/>
        <v>0</v>
      </c>
      <c r="N9" s="20">
        <f t="shared" si="0"/>
        <v>0</v>
      </c>
      <c r="O9" s="20">
        <f t="shared" si="0"/>
        <v>0</v>
      </c>
      <c r="P9" s="20">
        <f t="shared" si="0"/>
        <v>0</v>
      </c>
      <c r="Q9" s="20">
        <f t="shared" si="0"/>
        <v>0</v>
      </c>
      <c r="R9" s="20">
        <f t="shared" si="0"/>
        <v>0</v>
      </c>
      <c r="S9" s="20">
        <f t="shared" si="0"/>
        <v>0</v>
      </c>
      <c r="T9" s="20">
        <f t="shared" si="0"/>
        <v>0</v>
      </c>
      <c r="U9" s="20">
        <f t="shared" si="0"/>
        <v>0</v>
      </c>
      <c r="V9" s="20">
        <f t="shared" ref="V9:AF9" si="1">U9*(1+Traffic_Growth)</f>
        <v>0</v>
      </c>
      <c r="W9" s="20">
        <f t="shared" si="1"/>
        <v>0</v>
      </c>
      <c r="X9" s="20">
        <f t="shared" si="1"/>
        <v>0</v>
      </c>
      <c r="Y9" s="20">
        <f t="shared" si="1"/>
        <v>0</v>
      </c>
      <c r="Z9" s="20">
        <f t="shared" si="1"/>
        <v>0</v>
      </c>
      <c r="AA9" s="20">
        <f t="shared" si="1"/>
        <v>0</v>
      </c>
      <c r="AB9" s="20">
        <f t="shared" si="1"/>
        <v>0</v>
      </c>
      <c r="AC9" s="20">
        <f t="shared" si="1"/>
        <v>0</v>
      </c>
      <c r="AD9" s="20">
        <f t="shared" si="1"/>
        <v>0</v>
      </c>
      <c r="AE9" s="20">
        <f t="shared" si="1"/>
        <v>0</v>
      </c>
      <c r="AF9" s="20">
        <f t="shared" si="1"/>
        <v>0</v>
      </c>
    </row>
    <row r="10" spans="1:33" x14ac:dyDescent="0.2">
      <c r="B10" s="3" t="s">
        <v>122</v>
      </c>
      <c r="C10" s="73">
        <f>AADT*365*Originalroute_length*'Vehicle mix and value of time'!$E10</f>
        <v>0</v>
      </c>
      <c r="D10" s="69">
        <f t="shared" ref="D10:U10" si="2">C10*(1+Traffic_Growth)</f>
        <v>0</v>
      </c>
      <c r="E10" s="75">
        <f t="shared" si="2"/>
        <v>0</v>
      </c>
      <c r="F10" s="75">
        <f t="shared" si="2"/>
        <v>0</v>
      </c>
      <c r="G10" s="75">
        <f t="shared" si="2"/>
        <v>0</v>
      </c>
      <c r="H10" s="75">
        <f t="shared" si="2"/>
        <v>0</v>
      </c>
      <c r="I10" s="75">
        <f t="shared" si="2"/>
        <v>0</v>
      </c>
      <c r="J10" s="75">
        <f t="shared" si="2"/>
        <v>0</v>
      </c>
      <c r="K10" s="75">
        <f t="shared" si="2"/>
        <v>0</v>
      </c>
      <c r="L10" s="75">
        <f t="shared" si="2"/>
        <v>0</v>
      </c>
      <c r="M10" s="75">
        <f t="shared" si="2"/>
        <v>0</v>
      </c>
      <c r="N10" s="75">
        <f t="shared" si="2"/>
        <v>0</v>
      </c>
      <c r="O10" s="75">
        <f t="shared" si="2"/>
        <v>0</v>
      </c>
      <c r="P10" s="75">
        <f t="shared" si="2"/>
        <v>0</v>
      </c>
      <c r="Q10" s="75">
        <f t="shared" si="2"/>
        <v>0</v>
      </c>
      <c r="R10" s="75">
        <f t="shared" si="2"/>
        <v>0</v>
      </c>
      <c r="S10" s="75">
        <f t="shared" si="2"/>
        <v>0</v>
      </c>
      <c r="T10" s="75">
        <f t="shared" si="2"/>
        <v>0</v>
      </c>
      <c r="U10" s="75">
        <f t="shared" si="2"/>
        <v>0</v>
      </c>
      <c r="V10" s="75">
        <f t="shared" ref="V10:AF10" si="3">U10*(1+Traffic_Growth)</f>
        <v>0</v>
      </c>
      <c r="W10" s="75">
        <f t="shared" si="3"/>
        <v>0</v>
      </c>
      <c r="X10" s="75">
        <f t="shared" si="3"/>
        <v>0</v>
      </c>
      <c r="Y10" s="75">
        <f t="shared" si="3"/>
        <v>0</v>
      </c>
      <c r="Z10" s="75">
        <f t="shared" si="3"/>
        <v>0</v>
      </c>
      <c r="AA10" s="75">
        <f t="shared" si="3"/>
        <v>0</v>
      </c>
      <c r="AB10" s="75">
        <f t="shared" si="3"/>
        <v>0</v>
      </c>
      <c r="AC10" s="75">
        <f t="shared" si="3"/>
        <v>0</v>
      </c>
      <c r="AD10" s="75">
        <f t="shared" si="3"/>
        <v>0</v>
      </c>
      <c r="AE10" s="75">
        <f t="shared" si="3"/>
        <v>0</v>
      </c>
      <c r="AF10" s="75">
        <f t="shared" si="3"/>
        <v>0</v>
      </c>
    </row>
    <row r="11" spans="1:33" x14ac:dyDescent="0.2">
      <c r="B11" s="3" t="s">
        <v>123</v>
      </c>
      <c r="C11" s="73">
        <f>AADT*365*Originalroute_length*'Vehicle mix and value of time'!$E11</f>
        <v>0</v>
      </c>
      <c r="D11" s="69">
        <f t="shared" ref="D11:U11" si="4">C11*(1+Traffic_Growth)</f>
        <v>0</v>
      </c>
      <c r="E11" s="75">
        <f t="shared" si="4"/>
        <v>0</v>
      </c>
      <c r="F11" s="75">
        <f t="shared" si="4"/>
        <v>0</v>
      </c>
      <c r="G11" s="75">
        <f t="shared" si="4"/>
        <v>0</v>
      </c>
      <c r="H11" s="75">
        <f t="shared" si="4"/>
        <v>0</v>
      </c>
      <c r="I11" s="75">
        <f t="shared" si="4"/>
        <v>0</v>
      </c>
      <c r="J11" s="75">
        <f t="shared" si="4"/>
        <v>0</v>
      </c>
      <c r="K11" s="75">
        <f t="shared" si="4"/>
        <v>0</v>
      </c>
      <c r="L11" s="75">
        <f t="shared" si="4"/>
        <v>0</v>
      </c>
      <c r="M11" s="75">
        <f t="shared" si="4"/>
        <v>0</v>
      </c>
      <c r="N11" s="75">
        <f t="shared" si="4"/>
        <v>0</v>
      </c>
      <c r="O11" s="75">
        <f t="shared" si="4"/>
        <v>0</v>
      </c>
      <c r="P11" s="75">
        <f t="shared" si="4"/>
        <v>0</v>
      </c>
      <c r="Q11" s="75">
        <f t="shared" si="4"/>
        <v>0</v>
      </c>
      <c r="R11" s="75">
        <f t="shared" si="4"/>
        <v>0</v>
      </c>
      <c r="S11" s="75">
        <f t="shared" si="4"/>
        <v>0</v>
      </c>
      <c r="T11" s="75">
        <f t="shared" si="4"/>
        <v>0</v>
      </c>
      <c r="U11" s="75">
        <f t="shared" si="4"/>
        <v>0</v>
      </c>
      <c r="V11" s="75">
        <f t="shared" ref="V11:AF11" si="5">U11*(1+Traffic_Growth)</f>
        <v>0</v>
      </c>
      <c r="W11" s="75">
        <f t="shared" si="5"/>
        <v>0</v>
      </c>
      <c r="X11" s="75">
        <f t="shared" si="5"/>
        <v>0</v>
      </c>
      <c r="Y11" s="75">
        <f t="shared" si="5"/>
        <v>0</v>
      </c>
      <c r="Z11" s="75">
        <f t="shared" si="5"/>
        <v>0</v>
      </c>
      <c r="AA11" s="75">
        <f t="shared" si="5"/>
        <v>0</v>
      </c>
      <c r="AB11" s="75">
        <f t="shared" si="5"/>
        <v>0</v>
      </c>
      <c r="AC11" s="75">
        <f t="shared" si="5"/>
        <v>0</v>
      </c>
      <c r="AD11" s="75">
        <f t="shared" si="5"/>
        <v>0</v>
      </c>
      <c r="AE11" s="75">
        <f t="shared" si="5"/>
        <v>0</v>
      </c>
      <c r="AF11" s="75">
        <f t="shared" si="5"/>
        <v>0</v>
      </c>
    </row>
    <row r="12" spans="1:33" x14ac:dyDescent="0.2">
      <c r="B12" s="3" t="s">
        <v>40</v>
      </c>
      <c r="C12" s="73">
        <f>AADT*365*Originalroute_length*'Vehicle mix and value of time'!$E12</f>
        <v>0</v>
      </c>
      <c r="D12" s="69">
        <f t="shared" ref="D12:U12" si="6">C12*(1+Traffic_Growth)</f>
        <v>0</v>
      </c>
      <c r="E12" s="75">
        <f t="shared" si="6"/>
        <v>0</v>
      </c>
      <c r="F12" s="75">
        <f t="shared" si="6"/>
        <v>0</v>
      </c>
      <c r="G12" s="75">
        <f t="shared" si="6"/>
        <v>0</v>
      </c>
      <c r="H12" s="75">
        <f t="shared" si="6"/>
        <v>0</v>
      </c>
      <c r="I12" s="75">
        <f t="shared" si="6"/>
        <v>0</v>
      </c>
      <c r="J12" s="75">
        <f t="shared" si="6"/>
        <v>0</v>
      </c>
      <c r="K12" s="75">
        <f t="shared" si="6"/>
        <v>0</v>
      </c>
      <c r="L12" s="75">
        <f t="shared" si="6"/>
        <v>0</v>
      </c>
      <c r="M12" s="75">
        <f t="shared" si="6"/>
        <v>0</v>
      </c>
      <c r="N12" s="75">
        <f t="shared" si="6"/>
        <v>0</v>
      </c>
      <c r="O12" s="75">
        <f t="shared" si="6"/>
        <v>0</v>
      </c>
      <c r="P12" s="75">
        <f t="shared" si="6"/>
        <v>0</v>
      </c>
      <c r="Q12" s="75">
        <f t="shared" si="6"/>
        <v>0</v>
      </c>
      <c r="R12" s="75">
        <f t="shared" si="6"/>
        <v>0</v>
      </c>
      <c r="S12" s="75">
        <f t="shared" si="6"/>
        <v>0</v>
      </c>
      <c r="T12" s="75">
        <f t="shared" si="6"/>
        <v>0</v>
      </c>
      <c r="U12" s="75">
        <f t="shared" si="6"/>
        <v>0</v>
      </c>
      <c r="V12" s="75">
        <f t="shared" ref="V12:AF12" si="7">U12*(1+Traffic_Growth)</f>
        <v>0</v>
      </c>
      <c r="W12" s="75">
        <f t="shared" si="7"/>
        <v>0</v>
      </c>
      <c r="X12" s="75">
        <f t="shared" si="7"/>
        <v>0</v>
      </c>
      <c r="Y12" s="75">
        <f t="shared" si="7"/>
        <v>0</v>
      </c>
      <c r="Z12" s="75">
        <f t="shared" si="7"/>
        <v>0</v>
      </c>
      <c r="AA12" s="75">
        <f t="shared" si="7"/>
        <v>0</v>
      </c>
      <c r="AB12" s="75">
        <f t="shared" si="7"/>
        <v>0</v>
      </c>
      <c r="AC12" s="75">
        <f t="shared" si="7"/>
        <v>0</v>
      </c>
      <c r="AD12" s="75">
        <f t="shared" si="7"/>
        <v>0</v>
      </c>
      <c r="AE12" s="75">
        <f t="shared" si="7"/>
        <v>0</v>
      </c>
      <c r="AF12" s="75">
        <f t="shared" si="7"/>
        <v>0</v>
      </c>
    </row>
    <row r="13" spans="1:33" x14ac:dyDescent="0.2">
      <c r="B13" s="3" t="s">
        <v>41</v>
      </c>
      <c r="C13" s="73">
        <f>AADT*365*Originalroute_length*'Vehicle mix and value of time'!$E13</f>
        <v>0</v>
      </c>
      <c r="D13" s="69">
        <f t="shared" ref="D13:U13" si="8">C13*(1+Traffic_Growth)</f>
        <v>0</v>
      </c>
      <c r="E13" s="75">
        <f t="shared" si="8"/>
        <v>0</v>
      </c>
      <c r="F13" s="75">
        <f t="shared" si="8"/>
        <v>0</v>
      </c>
      <c r="G13" s="75">
        <f t="shared" si="8"/>
        <v>0</v>
      </c>
      <c r="H13" s="75">
        <f t="shared" si="8"/>
        <v>0</v>
      </c>
      <c r="I13" s="75">
        <f t="shared" si="8"/>
        <v>0</v>
      </c>
      <c r="J13" s="75">
        <f t="shared" si="8"/>
        <v>0</v>
      </c>
      <c r="K13" s="75">
        <f t="shared" si="8"/>
        <v>0</v>
      </c>
      <c r="L13" s="75">
        <f t="shared" si="8"/>
        <v>0</v>
      </c>
      <c r="M13" s="75">
        <f t="shared" si="8"/>
        <v>0</v>
      </c>
      <c r="N13" s="75">
        <f t="shared" si="8"/>
        <v>0</v>
      </c>
      <c r="O13" s="75">
        <f t="shared" si="8"/>
        <v>0</v>
      </c>
      <c r="P13" s="75">
        <f t="shared" si="8"/>
        <v>0</v>
      </c>
      <c r="Q13" s="75">
        <f t="shared" si="8"/>
        <v>0</v>
      </c>
      <c r="R13" s="75">
        <f t="shared" si="8"/>
        <v>0</v>
      </c>
      <c r="S13" s="75">
        <f t="shared" si="8"/>
        <v>0</v>
      </c>
      <c r="T13" s="75">
        <f t="shared" si="8"/>
        <v>0</v>
      </c>
      <c r="U13" s="75">
        <f t="shared" si="8"/>
        <v>0</v>
      </c>
      <c r="V13" s="75">
        <f t="shared" ref="V13:AF13" si="9">U13*(1+Traffic_Growth)</f>
        <v>0</v>
      </c>
      <c r="W13" s="75">
        <f t="shared" si="9"/>
        <v>0</v>
      </c>
      <c r="X13" s="75">
        <f t="shared" si="9"/>
        <v>0</v>
      </c>
      <c r="Y13" s="75">
        <f t="shared" si="9"/>
        <v>0</v>
      </c>
      <c r="Z13" s="75">
        <f t="shared" si="9"/>
        <v>0</v>
      </c>
      <c r="AA13" s="75">
        <f t="shared" si="9"/>
        <v>0</v>
      </c>
      <c r="AB13" s="75">
        <f t="shared" si="9"/>
        <v>0</v>
      </c>
      <c r="AC13" s="75">
        <f t="shared" si="9"/>
        <v>0</v>
      </c>
      <c r="AD13" s="75">
        <f t="shared" si="9"/>
        <v>0</v>
      </c>
      <c r="AE13" s="75">
        <f t="shared" si="9"/>
        <v>0</v>
      </c>
      <c r="AF13" s="75">
        <f t="shared" si="9"/>
        <v>0</v>
      </c>
    </row>
    <row r="14" spans="1:33" x14ac:dyDescent="0.2">
      <c r="B14" s="3" t="s">
        <v>84</v>
      </c>
      <c r="C14" s="74">
        <f>AADT*365*Originalroute_length*'Vehicle mix and value of time'!$E14</f>
        <v>0</v>
      </c>
      <c r="D14" s="70">
        <f t="shared" ref="D14:U14" si="10">C14*(1+Traffic_Growth)</f>
        <v>0</v>
      </c>
      <c r="E14" s="76">
        <f t="shared" si="10"/>
        <v>0</v>
      </c>
      <c r="F14" s="76">
        <f t="shared" si="10"/>
        <v>0</v>
      </c>
      <c r="G14" s="76">
        <f t="shared" si="10"/>
        <v>0</v>
      </c>
      <c r="H14" s="76">
        <f t="shared" si="10"/>
        <v>0</v>
      </c>
      <c r="I14" s="76">
        <f t="shared" si="10"/>
        <v>0</v>
      </c>
      <c r="J14" s="76">
        <f t="shared" si="10"/>
        <v>0</v>
      </c>
      <c r="K14" s="76">
        <f t="shared" si="10"/>
        <v>0</v>
      </c>
      <c r="L14" s="76">
        <f t="shared" si="10"/>
        <v>0</v>
      </c>
      <c r="M14" s="76">
        <f t="shared" si="10"/>
        <v>0</v>
      </c>
      <c r="N14" s="76">
        <f t="shared" si="10"/>
        <v>0</v>
      </c>
      <c r="O14" s="76">
        <f t="shared" si="10"/>
        <v>0</v>
      </c>
      <c r="P14" s="76">
        <f t="shared" si="10"/>
        <v>0</v>
      </c>
      <c r="Q14" s="76">
        <f t="shared" si="10"/>
        <v>0</v>
      </c>
      <c r="R14" s="76">
        <f t="shared" si="10"/>
        <v>0</v>
      </c>
      <c r="S14" s="76">
        <f t="shared" si="10"/>
        <v>0</v>
      </c>
      <c r="T14" s="76">
        <f t="shared" si="10"/>
        <v>0</v>
      </c>
      <c r="U14" s="76">
        <f t="shared" si="10"/>
        <v>0</v>
      </c>
      <c r="V14" s="76">
        <f t="shared" ref="V14:AF14" si="11">U14*(1+Traffic_Growth)</f>
        <v>0</v>
      </c>
      <c r="W14" s="76">
        <f t="shared" si="11"/>
        <v>0</v>
      </c>
      <c r="X14" s="76">
        <f t="shared" si="11"/>
        <v>0</v>
      </c>
      <c r="Y14" s="76">
        <f t="shared" si="11"/>
        <v>0</v>
      </c>
      <c r="Z14" s="76">
        <f t="shared" si="11"/>
        <v>0</v>
      </c>
      <c r="AA14" s="76">
        <f t="shared" si="11"/>
        <v>0</v>
      </c>
      <c r="AB14" s="76">
        <f t="shared" si="11"/>
        <v>0</v>
      </c>
      <c r="AC14" s="76">
        <f t="shared" si="11"/>
        <v>0</v>
      </c>
      <c r="AD14" s="76">
        <f t="shared" si="11"/>
        <v>0</v>
      </c>
      <c r="AE14" s="76">
        <f t="shared" si="11"/>
        <v>0</v>
      </c>
      <c r="AF14" s="76">
        <f t="shared" si="11"/>
        <v>0</v>
      </c>
    </row>
    <row r="15" spans="1:33" x14ac:dyDescent="0.2">
      <c r="B15" s="3" t="s">
        <v>38</v>
      </c>
      <c r="C15" s="15">
        <f>SUM(C9:C14)</f>
        <v>0</v>
      </c>
      <c r="D15" s="15">
        <f t="shared" ref="D15:U15" si="12">SUM(D9:D14)</f>
        <v>0</v>
      </c>
      <c r="E15" s="15">
        <f t="shared" si="12"/>
        <v>0</v>
      </c>
      <c r="F15" s="15">
        <f t="shared" si="12"/>
        <v>0</v>
      </c>
      <c r="G15" s="15">
        <f t="shared" si="12"/>
        <v>0</v>
      </c>
      <c r="H15" s="15">
        <f t="shared" si="12"/>
        <v>0</v>
      </c>
      <c r="I15" s="15">
        <f t="shared" si="12"/>
        <v>0</v>
      </c>
      <c r="J15" s="15">
        <f t="shared" si="12"/>
        <v>0</v>
      </c>
      <c r="K15" s="15">
        <f t="shared" si="12"/>
        <v>0</v>
      </c>
      <c r="L15" s="15">
        <f t="shared" si="12"/>
        <v>0</v>
      </c>
      <c r="M15" s="15">
        <f t="shared" si="12"/>
        <v>0</v>
      </c>
      <c r="N15" s="15">
        <f t="shared" si="12"/>
        <v>0</v>
      </c>
      <c r="O15" s="15">
        <f t="shared" si="12"/>
        <v>0</v>
      </c>
      <c r="P15" s="15">
        <f t="shared" si="12"/>
        <v>0</v>
      </c>
      <c r="Q15" s="15">
        <f t="shared" si="12"/>
        <v>0</v>
      </c>
      <c r="R15" s="15">
        <f t="shared" si="12"/>
        <v>0</v>
      </c>
      <c r="S15" s="15">
        <f t="shared" si="12"/>
        <v>0</v>
      </c>
      <c r="T15" s="15">
        <f t="shared" si="12"/>
        <v>0</v>
      </c>
      <c r="U15" s="15">
        <f t="shared" si="12"/>
        <v>0</v>
      </c>
      <c r="V15" s="15">
        <f t="shared" ref="V15:AF15" si="13">SUM(V9:V14)</f>
        <v>0</v>
      </c>
      <c r="W15" s="15">
        <f t="shared" si="13"/>
        <v>0</v>
      </c>
      <c r="X15" s="15">
        <f t="shared" si="13"/>
        <v>0</v>
      </c>
      <c r="Y15" s="15">
        <f t="shared" si="13"/>
        <v>0</v>
      </c>
      <c r="Z15" s="15">
        <f t="shared" si="13"/>
        <v>0</v>
      </c>
      <c r="AA15" s="15">
        <f t="shared" si="13"/>
        <v>0</v>
      </c>
      <c r="AB15" s="15">
        <f t="shared" si="13"/>
        <v>0</v>
      </c>
      <c r="AC15" s="15">
        <f t="shared" si="13"/>
        <v>0</v>
      </c>
      <c r="AD15" s="15">
        <f t="shared" si="13"/>
        <v>0</v>
      </c>
      <c r="AE15" s="15">
        <f t="shared" si="13"/>
        <v>0</v>
      </c>
      <c r="AF15" s="15">
        <f t="shared" si="13"/>
        <v>0</v>
      </c>
    </row>
    <row r="16" spans="1:33" x14ac:dyDescent="0.2">
      <c r="AB16"/>
      <c r="AC16"/>
      <c r="AD16"/>
      <c r="AE16"/>
      <c r="AF16"/>
    </row>
    <row r="17" spans="2:33" ht="15.75" x14ac:dyDescent="0.25">
      <c r="B17" s="17" t="s">
        <v>259</v>
      </c>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row>
    <row r="18" spans="2:33" x14ac:dyDescent="0.2">
      <c r="AB18"/>
      <c r="AC18"/>
      <c r="AD18"/>
      <c r="AE18"/>
      <c r="AF18"/>
    </row>
    <row r="19" spans="2:33" ht="15.75" x14ac:dyDescent="0.25">
      <c r="B19" s="11" t="s">
        <v>25</v>
      </c>
      <c r="C19" s="11">
        <v>2021</v>
      </c>
      <c r="D19" s="11">
        <v>2022</v>
      </c>
      <c r="E19" s="11">
        <v>2023</v>
      </c>
      <c r="F19" s="11">
        <v>2024</v>
      </c>
      <c r="G19" s="11">
        <v>2025</v>
      </c>
      <c r="H19" s="11">
        <v>2026</v>
      </c>
      <c r="I19" s="11">
        <v>2027</v>
      </c>
      <c r="J19" s="11">
        <v>2028</v>
      </c>
      <c r="K19" s="11">
        <v>2029</v>
      </c>
      <c r="L19" s="11">
        <v>2030</v>
      </c>
      <c r="M19" s="11">
        <v>2031</v>
      </c>
      <c r="N19" s="11">
        <v>2032</v>
      </c>
      <c r="O19" s="11">
        <v>2033</v>
      </c>
      <c r="P19" s="11">
        <v>2034</v>
      </c>
      <c r="Q19" s="11">
        <v>2035</v>
      </c>
      <c r="R19" s="11">
        <v>2036</v>
      </c>
      <c r="S19" s="11">
        <v>2037</v>
      </c>
      <c r="T19" s="11">
        <v>2038</v>
      </c>
      <c r="U19" s="11">
        <v>2039</v>
      </c>
      <c r="V19" s="11">
        <v>2040</v>
      </c>
      <c r="W19" s="11">
        <v>2041</v>
      </c>
      <c r="X19" s="11">
        <v>2042</v>
      </c>
      <c r="Y19" s="11">
        <v>2043</v>
      </c>
      <c r="Z19" s="11">
        <v>2044</v>
      </c>
      <c r="AA19" s="11">
        <v>2045</v>
      </c>
      <c r="AB19" s="11">
        <v>2046</v>
      </c>
      <c r="AC19" s="11">
        <v>2047</v>
      </c>
      <c r="AD19" s="11">
        <v>2048</v>
      </c>
      <c r="AE19" s="11">
        <v>2049</v>
      </c>
      <c r="AF19" s="11">
        <v>2050</v>
      </c>
    </row>
    <row r="20" spans="2:33" x14ac:dyDescent="0.2">
      <c r="B20" s="3" t="s">
        <v>37</v>
      </c>
      <c r="C20" s="15">
        <f>C9/Originalroute_Speed</f>
        <v>0</v>
      </c>
      <c r="D20" s="15">
        <f t="shared" ref="D20:U20" si="14">D9/Originalroute_Speed</f>
        <v>0</v>
      </c>
      <c r="E20" s="15">
        <f t="shared" si="14"/>
        <v>0</v>
      </c>
      <c r="F20" s="15">
        <f t="shared" si="14"/>
        <v>0</v>
      </c>
      <c r="G20" s="15">
        <f t="shared" si="14"/>
        <v>0</v>
      </c>
      <c r="H20" s="15">
        <f t="shared" si="14"/>
        <v>0</v>
      </c>
      <c r="I20" s="15">
        <f t="shared" si="14"/>
        <v>0</v>
      </c>
      <c r="J20" s="15">
        <f t="shared" si="14"/>
        <v>0</v>
      </c>
      <c r="K20" s="15">
        <f t="shared" si="14"/>
        <v>0</v>
      </c>
      <c r="L20" s="15">
        <f t="shared" si="14"/>
        <v>0</v>
      </c>
      <c r="M20" s="15">
        <f t="shared" si="14"/>
        <v>0</v>
      </c>
      <c r="N20" s="15">
        <f t="shared" si="14"/>
        <v>0</v>
      </c>
      <c r="O20" s="15">
        <f t="shared" si="14"/>
        <v>0</v>
      </c>
      <c r="P20" s="15">
        <f t="shared" si="14"/>
        <v>0</v>
      </c>
      <c r="Q20" s="15">
        <f t="shared" si="14"/>
        <v>0</v>
      </c>
      <c r="R20" s="15">
        <f t="shared" si="14"/>
        <v>0</v>
      </c>
      <c r="S20" s="15">
        <f t="shared" si="14"/>
        <v>0</v>
      </c>
      <c r="T20" s="15">
        <f t="shared" si="14"/>
        <v>0</v>
      </c>
      <c r="U20" s="15">
        <f t="shared" si="14"/>
        <v>0</v>
      </c>
      <c r="V20" s="15">
        <f t="shared" ref="V20:AF20" si="15">V9/Originalroute_Speed</f>
        <v>0</v>
      </c>
      <c r="W20" s="15">
        <f t="shared" si="15"/>
        <v>0</v>
      </c>
      <c r="X20" s="15">
        <f t="shared" si="15"/>
        <v>0</v>
      </c>
      <c r="Y20" s="15">
        <f t="shared" si="15"/>
        <v>0</v>
      </c>
      <c r="Z20" s="15">
        <f t="shared" si="15"/>
        <v>0</v>
      </c>
      <c r="AA20" s="15">
        <f t="shared" si="15"/>
        <v>0</v>
      </c>
      <c r="AB20" s="15">
        <f t="shared" si="15"/>
        <v>0</v>
      </c>
      <c r="AC20" s="15">
        <f t="shared" si="15"/>
        <v>0</v>
      </c>
      <c r="AD20" s="15">
        <f t="shared" si="15"/>
        <v>0</v>
      </c>
      <c r="AE20" s="15">
        <f t="shared" si="15"/>
        <v>0</v>
      </c>
      <c r="AF20" s="15">
        <f t="shared" si="15"/>
        <v>0</v>
      </c>
    </row>
    <row r="21" spans="2:33" x14ac:dyDescent="0.2">
      <c r="B21" s="3" t="s">
        <v>122</v>
      </c>
      <c r="C21" s="15">
        <f t="shared" ref="C21:U21" si="16">C10/Originalroute_Speed</f>
        <v>0</v>
      </c>
      <c r="D21" s="15">
        <f t="shared" si="16"/>
        <v>0</v>
      </c>
      <c r="E21" s="15">
        <f t="shared" si="16"/>
        <v>0</v>
      </c>
      <c r="F21" s="15">
        <f t="shared" si="16"/>
        <v>0</v>
      </c>
      <c r="G21" s="15">
        <f t="shared" si="16"/>
        <v>0</v>
      </c>
      <c r="H21" s="15">
        <f t="shared" si="16"/>
        <v>0</v>
      </c>
      <c r="I21" s="15">
        <f t="shared" si="16"/>
        <v>0</v>
      </c>
      <c r="J21" s="15">
        <f t="shared" si="16"/>
        <v>0</v>
      </c>
      <c r="K21" s="15">
        <f t="shared" si="16"/>
        <v>0</v>
      </c>
      <c r="L21" s="15">
        <f t="shared" si="16"/>
        <v>0</v>
      </c>
      <c r="M21" s="15">
        <f t="shared" si="16"/>
        <v>0</v>
      </c>
      <c r="N21" s="15">
        <f t="shared" si="16"/>
        <v>0</v>
      </c>
      <c r="O21" s="15">
        <f t="shared" si="16"/>
        <v>0</v>
      </c>
      <c r="P21" s="15">
        <f t="shared" si="16"/>
        <v>0</v>
      </c>
      <c r="Q21" s="15">
        <f t="shared" si="16"/>
        <v>0</v>
      </c>
      <c r="R21" s="15">
        <f t="shared" si="16"/>
        <v>0</v>
      </c>
      <c r="S21" s="15">
        <f t="shared" si="16"/>
        <v>0</v>
      </c>
      <c r="T21" s="15">
        <f t="shared" si="16"/>
        <v>0</v>
      </c>
      <c r="U21" s="15">
        <f t="shared" si="16"/>
        <v>0</v>
      </c>
      <c r="V21" s="15">
        <f t="shared" ref="V21:AF21" si="17">V10/Originalroute_Speed</f>
        <v>0</v>
      </c>
      <c r="W21" s="15">
        <f t="shared" si="17"/>
        <v>0</v>
      </c>
      <c r="X21" s="15">
        <f t="shared" si="17"/>
        <v>0</v>
      </c>
      <c r="Y21" s="15">
        <f t="shared" si="17"/>
        <v>0</v>
      </c>
      <c r="Z21" s="15">
        <f t="shared" si="17"/>
        <v>0</v>
      </c>
      <c r="AA21" s="15">
        <f t="shared" si="17"/>
        <v>0</v>
      </c>
      <c r="AB21" s="15">
        <f t="shared" si="17"/>
        <v>0</v>
      </c>
      <c r="AC21" s="15">
        <f t="shared" si="17"/>
        <v>0</v>
      </c>
      <c r="AD21" s="15">
        <f t="shared" si="17"/>
        <v>0</v>
      </c>
      <c r="AE21" s="15">
        <f t="shared" si="17"/>
        <v>0</v>
      </c>
      <c r="AF21" s="15">
        <f t="shared" si="17"/>
        <v>0</v>
      </c>
    </row>
    <row r="22" spans="2:33" x14ac:dyDescent="0.2">
      <c r="B22" s="3" t="s">
        <v>123</v>
      </c>
      <c r="C22" s="15">
        <f t="shared" ref="C22:U22" si="18">C11/Originalroute_Speed</f>
        <v>0</v>
      </c>
      <c r="D22" s="15">
        <f t="shared" si="18"/>
        <v>0</v>
      </c>
      <c r="E22" s="15">
        <f t="shared" si="18"/>
        <v>0</v>
      </c>
      <c r="F22" s="15">
        <f t="shared" si="18"/>
        <v>0</v>
      </c>
      <c r="G22" s="15">
        <f t="shared" si="18"/>
        <v>0</v>
      </c>
      <c r="H22" s="15">
        <f t="shared" si="18"/>
        <v>0</v>
      </c>
      <c r="I22" s="15">
        <f t="shared" si="18"/>
        <v>0</v>
      </c>
      <c r="J22" s="15">
        <f t="shared" si="18"/>
        <v>0</v>
      </c>
      <c r="K22" s="15">
        <f t="shared" si="18"/>
        <v>0</v>
      </c>
      <c r="L22" s="15">
        <f t="shared" si="18"/>
        <v>0</v>
      </c>
      <c r="M22" s="15">
        <f t="shared" si="18"/>
        <v>0</v>
      </c>
      <c r="N22" s="15">
        <f t="shared" si="18"/>
        <v>0</v>
      </c>
      <c r="O22" s="15">
        <f t="shared" si="18"/>
        <v>0</v>
      </c>
      <c r="P22" s="15">
        <f t="shared" si="18"/>
        <v>0</v>
      </c>
      <c r="Q22" s="15">
        <f t="shared" si="18"/>
        <v>0</v>
      </c>
      <c r="R22" s="15">
        <f t="shared" si="18"/>
        <v>0</v>
      </c>
      <c r="S22" s="15">
        <f t="shared" si="18"/>
        <v>0</v>
      </c>
      <c r="T22" s="15">
        <f t="shared" si="18"/>
        <v>0</v>
      </c>
      <c r="U22" s="15">
        <f t="shared" si="18"/>
        <v>0</v>
      </c>
      <c r="V22" s="15">
        <f t="shared" ref="V22:AF22" si="19">V11/Originalroute_Speed</f>
        <v>0</v>
      </c>
      <c r="W22" s="15">
        <f t="shared" si="19"/>
        <v>0</v>
      </c>
      <c r="X22" s="15">
        <f t="shared" si="19"/>
        <v>0</v>
      </c>
      <c r="Y22" s="15">
        <f t="shared" si="19"/>
        <v>0</v>
      </c>
      <c r="Z22" s="15">
        <f t="shared" si="19"/>
        <v>0</v>
      </c>
      <c r="AA22" s="15">
        <f t="shared" si="19"/>
        <v>0</v>
      </c>
      <c r="AB22" s="15">
        <f t="shared" si="19"/>
        <v>0</v>
      </c>
      <c r="AC22" s="15">
        <f t="shared" si="19"/>
        <v>0</v>
      </c>
      <c r="AD22" s="15">
        <f t="shared" si="19"/>
        <v>0</v>
      </c>
      <c r="AE22" s="15">
        <f t="shared" si="19"/>
        <v>0</v>
      </c>
      <c r="AF22" s="15">
        <f t="shared" si="19"/>
        <v>0</v>
      </c>
    </row>
    <row r="23" spans="2:33" x14ac:dyDescent="0.2">
      <c r="B23" s="3" t="s">
        <v>40</v>
      </c>
      <c r="C23" s="15">
        <f t="shared" ref="C23:U23" si="20">C12/Originalroute_Speed</f>
        <v>0</v>
      </c>
      <c r="D23" s="15">
        <f t="shared" si="20"/>
        <v>0</v>
      </c>
      <c r="E23" s="15">
        <f t="shared" si="20"/>
        <v>0</v>
      </c>
      <c r="F23" s="15">
        <f t="shared" si="20"/>
        <v>0</v>
      </c>
      <c r="G23" s="15">
        <f t="shared" si="20"/>
        <v>0</v>
      </c>
      <c r="H23" s="15">
        <f t="shared" si="20"/>
        <v>0</v>
      </c>
      <c r="I23" s="15">
        <f t="shared" si="20"/>
        <v>0</v>
      </c>
      <c r="J23" s="15">
        <f t="shared" si="20"/>
        <v>0</v>
      </c>
      <c r="K23" s="15">
        <f t="shared" si="20"/>
        <v>0</v>
      </c>
      <c r="L23" s="15">
        <f t="shared" si="20"/>
        <v>0</v>
      </c>
      <c r="M23" s="15">
        <f t="shared" si="20"/>
        <v>0</v>
      </c>
      <c r="N23" s="15">
        <f t="shared" si="20"/>
        <v>0</v>
      </c>
      <c r="O23" s="15">
        <f t="shared" si="20"/>
        <v>0</v>
      </c>
      <c r="P23" s="15">
        <f t="shared" si="20"/>
        <v>0</v>
      </c>
      <c r="Q23" s="15">
        <f t="shared" si="20"/>
        <v>0</v>
      </c>
      <c r="R23" s="15">
        <f t="shared" si="20"/>
        <v>0</v>
      </c>
      <c r="S23" s="15">
        <f t="shared" si="20"/>
        <v>0</v>
      </c>
      <c r="T23" s="15">
        <f t="shared" si="20"/>
        <v>0</v>
      </c>
      <c r="U23" s="15">
        <f t="shared" si="20"/>
        <v>0</v>
      </c>
      <c r="V23" s="15">
        <f t="shared" ref="V23:AF23" si="21">V12/Originalroute_Speed</f>
        <v>0</v>
      </c>
      <c r="W23" s="15">
        <f t="shared" si="21"/>
        <v>0</v>
      </c>
      <c r="X23" s="15">
        <f t="shared" si="21"/>
        <v>0</v>
      </c>
      <c r="Y23" s="15">
        <f t="shared" si="21"/>
        <v>0</v>
      </c>
      <c r="Z23" s="15">
        <f t="shared" si="21"/>
        <v>0</v>
      </c>
      <c r="AA23" s="15">
        <f t="shared" si="21"/>
        <v>0</v>
      </c>
      <c r="AB23" s="15">
        <f t="shared" si="21"/>
        <v>0</v>
      </c>
      <c r="AC23" s="15">
        <f t="shared" si="21"/>
        <v>0</v>
      </c>
      <c r="AD23" s="15">
        <f t="shared" si="21"/>
        <v>0</v>
      </c>
      <c r="AE23" s="15">
        <f t="shared" si="21"/>
        <v>0</v>
      </c>
      <c r="AF23" s="15">
        <f t="shared" si="21"/>
        <v>0</v>
      </c>
    </row>
    <row r="24" spans="2:33" x14ac:dyDescent="0.2">
      <c r="B24" s="3" t="s">
        <v>41</v>
      </c>
      <c r="C24" s="15">
        <f t="shared" ref="C24:U24" si="22">C13/Originalroute_Speed</f>
        <v>0</v>
      </c>
      <c r="D24" s="15">
        <f t="shared" si="22"/>
        <v>0</v>
      </c>
      <c r="E24" s="15">
        <f t="shared" si="22"/>
        <v>0</v>
      </c>
      <c r="F24" s="15">
        <f t="shared" si="22"/>
        <v>0</v>
      </c>
      <c r="G24" s="15">
        <f t="shared" si="22"/>
        <v>0</v>
      </c>
      <c r="H24" s="15">
        <f t="shared" si="22"/>
        <v>0</v>
      </c>
      <c r="I24" s="15">
        <f t="shared" si="22"/>
        <v>0</v>
      </c>
      <c r="J24" s="15">
        <f t="shared" si="22"/>
        <v>0</v>
      </c>
      <c r="K24" s="15">
        <f t="shared" si="22"/>
        <v>0</v>
      </c>
      <c r="L24" s="15">
        <f t="shared" si="22"/>
        <v>0</v>
      </c>
      <c r="M24" s="15">
        <f t="shared" si="22"/>
        <v>0</v>
      </c>
      <c r="N24" s="15">
        <f t="shared" si="22"/>
        <v>0</v>
      </c>
      <c r="O24" s="15">
        <f t="shared" si="22"/>
        <v>0</v>
      </c>
      <c r="P24" s="15">
        <f t="shared" si="22"/>
        <v>0</v>
      </c>
      <c r="Q24" s="15">
        <f t="shared" si="22"/>
        <v>0</v>
      </c>
      <c r="R24" s="15">
        <f t="shared" si="22"/>
        <v>0</v>
      </c>
      <c r="S24" s="15">
        <f t="shared" si="22"/>
        <v>0</v>
      </c>
      <c r="T24" s="15">
        <f t="shared" si="22"/>
        <v>0</v>
      </c>
      <c r="U24" s="15">
        <f t="shared" si="22"/>
        <v>0</v>
      </c>
      <c r="V24" s="15">
        <f t="shared" ref="V24:AF24" si="23">V13/Originalroute_Speed</f>
        <v>0</v>
      </c>
      <c r="W24" s="15">
        <f t="shared" si="23"/>
        <v>0</v>
      </c>
      <c r="X24" s="15">
        <f t="shared" si="23"/>
        <v>0</v>
      </c>
      <c r="Y24" s="15">
        <f t="shared" si="23"/>
        <v>0</v>
      </c>
      <c r="Z24" s="15">
        <f t="shared" si="23"/>
        <v>0</v>
      </c>
      <c r="AA24" s="15">
        <f t="shared" si="23"/>
        <v>0</v>
      </c>
      <c r="AB24" s="15">
        <f t="shared" si="23"/>
        <v>0</v>
      </c>
      <c r="AC24" s="15">
        <f t="shared" si="23"/>
        <v>0</v>
      </c>
      <c r="AD24" s="15">
        <f t="shared" si="23"/>
        <v>0</v>
      </c>
      <c r="AE24" s="15">
        <f t="shared" si="23"/>
        <v>0</v>
      </c>
      <c r="AF24" s="15">
        <f t="shared" si="23"/>
        <v>0</v>
      </c>
    </row>
    <row r="25" spans="2:33" x14ac:dyDescent="0.2">
      <c r="B25" s="3" t="s">
        <v>84</v>
      </c>
      <c r="C25" s="15">
        <f t="shared" ref="C25:U25" si="24">C14/Originalroute_Speed</f>
        <v>0</v>
      </c>
      <c r="D25" s="15">
        <f t="shared" si="24"/>
        <v>0</v>
      </c>
      <c r="E25" s="15">
        <f t="shared" si="24"/>
        <v>0</v>
      </c>
      <c r="F25" s="15">
        <f t="shared" si="24"/>
        <v>0</v>
      </c>
      <c r="G25" s="15">
        <f t="shared" si="24"/>
        <v>0</v>
      </c>
      <c r="H25" s="15">
        <f t="shared" si="24"/>
        <v>0</v>
      </c>
      <c r="I25" s="15">
        <f t="shared" si="24"/>
        <v>0</v>
      </c>
      <c r="J25" s="15">
        <f t="shared" si="24"/>
        <v>0</v>
      </c>
      <c r="K25" s="15">
        <f t="shared" si="24"/>
        <v>0</v>
      </c>
      <c r="L25" s="15">
        <f t="shared" si="24"/>
        <v>0</v>
      </c>
      <c r="M25" s="15">
        <f t="shared" si="24"/>
        <v>0</v>
      </c>
      <c r="N25" s="15">
        <f t="shared" si="24"/>
        <v>0</v>
      </c>
      <c r="O25" s="15">
        <f t="shared" si="24"/>
        <v>0</v>
      </c>
      <c r="P25" s="15">
        <f t="shared" si="24"/>
        <v>0</v>
      </c>
      <c r="Q25" s="15">
        <f t="shared" si="24"/>
        <v>0</v>
      </c>
      <c r="R25" s="15">
        <f t="shared" si="24"/>
        <v>0</v>
      </c>
      <c r="S25" s="15">
        <f t="shared" si="24"/>
        <v>0</v>
      </c>
      <c r="T25" s="15">
        <f t="shared" si="24"/>
        <v>0</v>
      </c>
      <c r="U25" s="15">
        <f t="shared" si="24"/>
        <v>0</v>
      </c>
      <c r="V25" s="15">
        <f t="shared" ref="V25:AF25" si="25">V14/Originalroute_Speed</f>
        <v>0</v>
      </c>
      <c r="W25" s="15">
        <f t="shared" si="25"/>
        <v>0</v>
      </c>
      <c r="X25" s="15">
        <f t="shared" si="25"/>
        <v>0</v>
      </c>
      <c r="Y25" s="15">
        <f t="shared" si="25"/>
        <v>0</v>
      </c>
      <c r="Z25" s="15">
        <f t="shared" si="25"/>
        <v>0</v>
      </c>
      <c r="AA25" s="15">
        <f t="shared" si="25"/>
        <v>0</v>
      </c>
      <c r="AB25" s="15">
        <f t="shared" si="25"/>
        <v>0</v>
      </c>
      <c r="AC25" s="15">
        <f t="shared" si="25"/>
        <v>0</v>
      </c>
      <c r="AD25" s="15">
        <f t="shared" si="25"/>
        <v>0</v>
      </c>
      <c r="AE25" s="15">
        <f t="shared" si="25"/>
        <v>0</v>
      </c>
      <c r="AF25" s="15">
        <f t="shared" si="25"/>
        <v>0</v>
      </c>
    </row>
    <row r="26" spans="2:33" x14ac:dyDescent="0.2">
      <c r="B26" s="3" t="s">
        <v>38</v>
      </c>
      <c r="C26" s="15">
        <f t="shared" ref="C26:U26" si="26">C15/Originalroute_Speed</f>
        <v>0</v>
      </c>
      <c r="D26" s="15">
        <f t="shared" si="26"/>
        <v>0</v>
      </c>
      <c r="E26" s="15">
        <f t="shared" si="26"/>
        <v>0</v>
      </c>
      <c r="F26" s="15">
        <f t="shared" si="26"/>
        <v>0</v>
      </c>
      <c r="G26" s="15">
        <f t="shared" si="26"/>
        <v>0</v>
      </c>
      <c r="H26" s="15">
        <f t="shared" si="26"/>
        <v>0</v>
      </c>
      <c r="I26" s="15">
        <f t="shared" si="26"/>
        <v>0</v>
      </c>
      <c r="J26" s="15">
        <f t="shared" si="26"/>
        <v>0</v>
      </c>
      <c r="K26" s="15">
        <f t="shared" si="26"/>
        <v>0</v>
      </c>
      <c r="L26" s="15">
        <f t="shared" si="26"/>
        <v>0</v>
      </c>
      <c r="M26" s="15">
        <f t="shared" si="26"/>
        <v>0</v>
      </c>
      <c r="N26" s="15">
        <f t="shared" si="26"/>
        <v>0</v>
      </c>
      <c r="O26" s="15">
        <f t="shared" si="26"/>
        <v>0</v>
      </c>
      <c r="P26" s="15">
        <f t="shared" si="26"/>
        <v>0</v>
      </c>
      <c r="Q26" s="15">
        <f t="shared" si="26"/>
        <v>0</v>
      </c>
      <c r="R26" s="15">
        <f t="shared" si="26"/>
        <v>0</v>
      </c>
      <c r="S26" s="15">
        <f t="shared" si="26"/>
        <v>0</v>
      </c>
      <c r="T26" s="15">
        <f t="shared" si="26"/>
        <v>0</v>
      </c>
      <c r="U26" s="15">
        <f t="shared" si="26"/>
        <v>0</v>
      </c>
      <c r="V26" s="15">
        <f t="shared" ref="V26:AF26" si="27">V15/Originalroute_Speed</f>
        <v>0</v>
      </c>
      <c r="W26" s="15">
        <f t="shared" si="27"/>
        <v>0</v>
      </c>
      <c r="X26" s="15">
        <f t="shared" si="27"/>
        <v>0</v>
      </c>
      <c r="Y26" s="15">
        <f t="shared" si="27"/>
        <v>0</v>
      </c>
      <c r="Z26" s="15">
        <f t="shared" si="27"/>
        <v>0</v>
      </c>
      <c r="AA26" s="15">
        <f t="shared" si="27"/>
        <v>0</v>
      </c>
      <c r="AB26" s="15">
        <f t="shared" si="27"/>
        <v>0</v>
      </c>
      <c r="AC26" s="15">
        <f t="shared" si="27"/>
        <v>0</v>
      </c>
      <c r="AD26" s="15">
        <f t="shared" si="27"/>
        <v>0</v>
      </c>
      <c r="AE26" s="15">
        <f t="shared" si="27"/>
        <v>0</v>
      </c>
      <c r="AF26" s="15">
        <f t="shared" si="27"/>
        <v>0</v>
      </c>
    </row>
    <row r="27" spans="2:33" x14ac:dyDescent="0.2">
      <c r="AB27"/>
      <c r="AC27"/>
      <c r="AD27"/>
      <c r="AE27"/>
      <c r="AF27"/>
    </row>
    <row r="28" spans="2:33" ht="15.75" x14ac:dyDescent="0.25">
      <c r="B28" s="17" t="s">
        <v>256</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row>
    <row r="29" spans="2:33" x14ac:dyDescent="0.2">
      <c r="AB29"/>
      <c r="AC29"/>
      <c r="AD29"/>
      <c r="AE29"/>
      <c r="AF29"/>
    </row>
    <row r="30" spans="2:33" ht="15.75" x14ac:dyDescent="0.25">
      <c r="B30" s="11" t="s">
        <v>255</v>
      </c>
      <c r="C30" s="11" t="s">
        <v>83</v>
      </c>
      <c r="D30" s="11" t="s">
        <v>73</v>
      </c>
      <c r="E30" s="11" t="s">
        <v>183</v>
      </c>
      <c r="F30" s="1"/>
      <c r="G30" s="11" t="s">
        <v>260</v>
      </c>
      <c r="H30" s="11" t="s">
        <v>182</v>
      </c>
      <c r="AB30"/>
      <c r="AC30"/>
      <c r="AD30"/>
      <c r="AE30"/>
      <c r="AF30"/>
    </row>
    <row r="31" spans="2:33" x14ac:dyDescent="0.2">
      <c r="B31" s="3" t="s">
        <v>37</v>
      </c>
      <c r="C31" s="93">
        <f>SUMIFS('VOC Summary'!$C9:$E9,'VOC Summary'!$C$8:$E$8,'User interface'!$C$42)/100</f>
        <v>0</v>
      </c>
      <c r="D31" s="93">
        <f>Safety!G125</f>
        <v>0.13585789733536591</v>
      </c>
      <c r="E31" s="93">
        <f>SUMIFS('Vehicle mix and value of time'!$C50:$D50,'Vehicle mix and value of time'!$C$49:$D$49,Region)</f>
        <v>0</v>
      </c>
      <c r="G31" s="3" t="s">
        <v>37</v>
      </c>
      <c r="H31" s="93">
        <f>SUMIFS('Vehicle mix and value of time'!$C27:$D27,'Vehicle mix and value of time'!$C$26:$D$26,Region)</f>
        <v>0</v>
      </c>
      <c r="AB31"/>
      <c r="AC31"/>
      <c r="AD31"/>
      <c r="AE31"/>
      <c r="AF31"/>
    </row>
    <row r="32" spans="2:33" x14ac:dyDescent="0.2">
      <c r="B32" s="3" t="s">
        <v>122</v>
      </c>
      <c r="C32" s="94">
        <f>SUMIFS('VOC Summary'!$C10:$E10,'VOC Summary'!$C$8:$E$8,'User interface'!$C$42)/100</f>
        <v>0</v>
      </c>
      <c r="D32" s="94">
        <f>Safety!G126</f>
        <v>0.14238153934640216</v>
      </c>
      <c r="E32" s="94">
        <f>SUMIFS('Vehicle mix and value of time'!$C51:$D51,'Vehicle mix and value of time'!$C$49:$D$49,Region)</f>
        <v>0</v>
      </c>
      <c r="G32" s="3" t="s">
        <v>122</v>
      </c>
      <c r="H32" s="94">
        <f>SUMIFS('Vehicle mix and value of time'!$C28:$D28,'Vehicle mix and value of time'!$C$26:$D$26,Region)</f>
        <v>0</v>
      </c>
      <c r="AB32"/>
      <c r="AC32"/>
      <c r="AD32"/>
      <c r="AE32"/>
      <c r="AF32"/>
    </row>
    <row r="33" spans="2:32" x14ac:dyDescent="0.2">
      <c r="B33" s="3" t="s">
        <v>123</v>
      </c>
      <c r="C33" s="94">
        <f>SUMIFS('VOC Summary'!$C11:$E11,'VOC Summary'!$C$8:$E$8,'User interface'!$C$42)/100</f>
        <v>0</v>
      </c>
      <c r="D33" s="94">
        <f>Safety!G127</f>
        <v>0.14238153934640216</v>
      </c>
      <c r="E33" s="94">
        <f>SUMIFS('Vehicle mix and value of time'!$C52:$D52,'Vehicle mix and value of time'!$C$49:$D$49,Region)</f>
        <v>0</v>
      </c>
      <c r="G33" s="3" t="s">
        <v>123</v>
      </c>
      <c r="H33" s="94">
        <f>SUMIFS('Vehicle mix and value of time'!$C29:$D29,'Vehicle mix and value of time'!$C$26:$D$26,Region)</f>
        <v>0</v>
      </c>
      <c r="AB33"/>
      <c r="AC33"/>
      <c r="AD33"/>
      <c r="AE33"/>
      <c r="AF33"/>
    </row>
    <row r="34" spans="2:32" x14ac:dyDescent="0.2">
      <c r="B34" s="3" t="s">
        <v>40</v>
      </c>
      <c r="C34" s="94">
        <f>SUMIFS('VOC Summary'!$C12:$E12,'VOC Summary'!$C$8:$E$8,'User interface'!$C$42)/100</f>
        <v>0</v>
      </c>
      <c r="D34" s="94">
        <f>Safety!G128</f>
        <v>0.12990361334396916</v>
      </c>
      <c r="E34" s="94">
        <f>SUMIFS('Vehicle mix and value of time'!$C53:$D53,'Vehicle mix and value of time'!$C$49:$D$49,Region)</f>
        <v>0</v>
      </c>
      <c r="G34" s="3" t="s">
        <v>40</v>
      </c>
      <c r="H34" s="94">
        <f>SUMIFS('Vehicle mix and value of time'!$C30:$D30,'Vehicle mix and value of time'!$C$26:$D$26,Region)</f>
        <v>0</v>
      </c>
      <c r="AB34"/>
      <c r="AC34"/>
      <c r="AD34"/>
      <c r="AE34"/>
      <c r="AF34"/>
    </row>
    <row r="35" spans="2:32" x14ac:dyDescent="0.2">
      <c r="B35" s="3" t="s">
        <v>41</v>
      </c>
      <c r="C35" s="94">
        <f>SUMIFS('VOC Summary'!$C13:$E13,'VOC Summary'!$C$8:$E$8,'User interface'!$C$42)/100</f>
        <v>0</v>
      </c>
      <c r="D35" s="94">
        <f>Safety!G129</f>
        <v>0.17209259227234516</v>
      </c>
      <c r="E35" s="94">
        <f>SUMIFS('Vehicle mix and value of time'!$C54:$D54,'Vehicle mix and value of time'!$C$49:$D$49,Region)</f>
        <v>0</v>
      </c>
      <c r="G35" s="3" t="s">
        <v>41</v>
      </c>
      <c r="H35" s="94">
        <f>SUMIFS('Vehicle mix and value of time'!$C31:$D31,'Vehicle mix and value of time'!$C$26:$D$26,Region)</f>
        <v>0</v>
      </c>
      <c r="AB35"/>
      <c r="AC35"/>
      <c r="AD35"/>
      <c r="AE35"/>
      <c r="AF35"/>
    </row>
    <row r="36" spans="2:32" x14ac:dyDescent="0.2">
      <c r="B36" s="3" t="s">
        <v>84</v>
      </c>
      <c r="C36" s="95">
        <f>SUMIFS('VOC Summary'!$C14:$E14,'VOC Summary'!$C$8:$E$8,'User interface'!$C$42)/100</f>
        <v>0</v>
      </c>
      <c r="D36" s="95">
        <f>Safety!G130</f>
        <v>0.17209259227234516</v>
      </c>
      <c r="E36" s="95">
        <f>SUMIFS('Vehicle mix and value of time'!$C55:$D55,'Vehicle mix and value of time'!$C$49:$D$49,Region)</f>
        <v>0</v>
      </c>
      <c r="G36" s="3" t="s">
        <v>84</v>
      </c>
      <c r="H36" s="95">
        <f>SUMIFS('Vehicle mix and value of time'!$C32:$D32,'Vehicle mix and value of time'!$C$26:$D$26,Region)</f>
        <v>0</v>
      </c>
      <c r="AB36"/>
      <c r="AC36"/>
      <c r="AD36"/>
      <c r="AE36"/>
      <c r="AF36"/>
    </row>
    <row r="37" spans="2:32" x14ac:dyDescent="0.2">
      <c r="B37" s="3" t="s">
        <v>257</v>
      </c>
      <c r="C37" s="85">
        <f>SUMPRODUCT(C31:C36,'Vehicle mix and value of time'!$E$9:$E$14)</f>
        <v>0</v>
      </c>
      <c r="D37" s="85">
        <f>SUMPRODUCT(D31:D36,'Vehicle mix and value of time'!$E$9:$E$14)</f>
        <v>0.13862971789767162</v>
      </c>
      <c r="E37" s="85">
        <f>SUMPRODUCT(E31:E36,'Vehicle mix and value of time'!$E$9:$E$14)</f>
        <v>0</v>
      </c>
      <c r="G37" s="3" t="s">
        <v>257</v>
      </c>
      <c r="H37" s="85">
        <f>SUMPRODUCT(H31:H36,'Vehicle mix and value of time'!$E$9:$E$14)</f>
        <v>0</v>
      </c>
      <c r="AB37"/>
      <c r="AC37"/>
      <c r="AD37"/>
      <c r="AE37"/>
      <c r="AF37"/>
    </row>
    <row r="38" spans="2:32" x14ac:dyDescent="0.2">
      <c r="AB38"/>
      <c r="AC38"/>
      <c r="AD38"/>
      <c r="AE38"/>
      <c r="AF38"/>
    </row>
    <row r="39" spans="2:32" ht="15.75" x14ac:dyDescent="0.25">
      <c r="B39" s="17" t="s">
        <v>262</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row>
    <row r="40" spans="2:32" x14ac:dyDescent="0.2">
      <c r="AB40"/>
      <c r="AC40"/>
      <c r="AD40"/>
      <c r="AE40"/>
      <c r="AF40"/>
    </row>
    <row r="41" spans="2:32" ht="15.75" x14ac:dyDescent="0.25">
      <c r="B41" s="11" t="s">
        <v>25</v>
      </c>
      <c r="C41" s="11">
        <v>2021</v>
      </c>
      <c r="D41" s="11">
        <v>2022</v>
      </c>
      <c r="E41" s="11">
        <v>2023</v>
      </c>
      <c r="F41" s="11">
        <v>2024</v>
      </c>
      <c r="G41" s="11">
        <v>2025</v>
      </c>
      <c r="H41" s="11">
        <v>2026</v>
      </c>
      <c r="I41" s="11">
        <v>2027</v>
      </c>
      <c r="J41" s="11">
        <v>2028</v>
      </c>
      <c r="K41" s="11">
        <v>2029</v>
      </c>
      <c r="L41" s="11">
        <v>2030</v>
      </c>
      <c r="M41" s="11">
        <v>2031</v>
      </c>
      <c r="N41" s="11">
        <v>2032</v>
      </c>
      <c r="O41" s="11">
        <v>2033</v>
      </c>
      <c r="P41" s="11">
        <v>2034</v>
      </c>
      <c r="Q41" s="11">
        <v>2035</v>
      </c>
      <c r="R41" s="11">
        <v>2036</v>
      </c>
      <c r="S41" s="11">
        <v>2037</v>
      </c>
      <c r="T41" s="11">
        <v>2038</v>
      </c>
      <c r="U41" s="11">
        <v>2039</v>
      </c>
      <c r="V41" s="11">
        <v>2040</v>
      </c>
      <c r="W41" s="11">
        <v>2041</v>
      </c>
      <c r="X41" s="11">
        <v>2042</v>
      </c>
      <c r="Y41" s="11">
        <v>2043</v>
      </c>
      <c r="Z41" s="11">
        <v>2044</v>
      </c>
      <c r="AA41" s="11">
        <v>2045</v>
      </c>
      <c r="AB41" s="11">
        <v>2046</v>
      </c>
      <c r="AC41" s="11">
        <v>2047</v>
      </c>
      <c r="AD41" s="11">
        <v>2048</v>
      </c>
      <c r="AE41" s="11">
        <v>2049</v>
      </c>
      <c r="AF41" s="11">
        <v>2050</v>
      </c>
    </row>
    <row r="42" spans="2:32" x14ac:dyDescent="0.2">
      <c r="B42" s="3" t="s">
        <v>182</v>
      </c>
      <c r="C42" s="22">
        <f>$H$37*C26</f>
        <v>0</v>
      </c>
      <c r="D42" s="23">
        <f t="shared" ref="D42:U42" si="28">$H$37*D26</f>
        <v>0</v>
      </c>
      <c r="E42" s="23">
        <f t="shared" si="28"/>
        <v>0</v>
      </c>
      <c r="F42" s="23">
        <f t="shared" si="28"/>
        <v>0</v>
      </c>
      <c r="G42" s="23">
        <f t="shared" si="28"/>
        <v>0</v>
      </c>
      <c r="H42" s="23">
        <f t="shared" si="28"/>
        <v>0</v>
      </c>
      <c r="I42" s="23">
        <f t="shared" si="28"/>
        <v>0</v>
      </c>
      <c r="J42" s="23">
        <f t="shared" si="28"/>
        <v>0</v>
      </c>
      <c r="K42" s="23">
        <f t="shared" si="28"/>
        <v>0</v>
      </c>
      <c r="L42" s="23">
        <f t="shared" si="28"/>
        <v>0</v>
      </c>
      <c r="M42" s="23">
        <f t="shared" si="28"/>
        <v>0</v>
      </c>
      <c r="N42" s="23">
        <f t="shared" si="28"/>
        <v>0</v>
      </c>
      <c r="O42" s="23">
        <f t="shared" si="28"/>
        <v>0</v>
      </c>
      <c r="P42" s="23">
        <f t="shared" si="28"/>
        <v>0</v>
      </c>
      <c r="Q42" s="23">
        <f t="shared" si="28"/>
        <v>0</v>
      </c>
      <c r="R42" s="23">
        <f t="shared" si="28"/>
        <v>0</v>
      </c>
      <c r="S42" s="23">
        <f t="shared" si="28"/>
        <v>0</v>
      </c>
      <c r="T42" s="23">
        <f t="shared" si="28"/>
        <v>0</v>
      </c>
      <c r="U42" s="23">
        <f t="shared" si="28"/>
        <v>0</v>
      </c>
      <c r="V42" s="23">
        <f t="shared" ref="V42:AF42" si="29">$H$37*V26</f>
        <v>0</v>
      </c>
      <c r="W42" s="23">
        <f t="shared" si="29"/>
        <v>0</v>
      </c>
      <c r="X42" s="23">
        <f t="shared" si="29"/>
        <v>0</v>
      </c>
      <c r="Y42" s="23">
        <f t="shared" si="29"/>
        <v>0</v>
      </c>
      <c r="Z42" s="23">
        <f t="shared" si="29"/>
        <v>0</v>
      </c>
      <c r="AA42" s="23">
        <f t="shared" si="29"/>
        <v>0</v>
      </c>
      <c r="AB42" s="23">
        <f t="shared" si="29"/>
        <v>0</v>
      </c>
      <c r="AC42" s="23">
        <f t="shared" si="29"/>
        <v>0</v>
      </c>
      <c r="AD42" s="23">
        <f t="shared" si="29"/>
        <v>0</v>
      </c>
      <c r="AE42" s="23">
        <f t="shared" si="29"/>
        <v>0</v>
      </c>
      <c r="AF42" s="23">
        <f t="shared" si="29"/>
        <v>0</v>
      </c>
    </row>
    <row r="43" spans="2:32" x14ac:dyDescent="0.2">
      <c r="B43" s="3" t="s">
        <v>83</v>
      </c>
      <c r="C43" s="19">
        <f>SUMIFS($C$37:$E$37,$C$30:$E$30,$B43)*C$15</f>
        <v>0</v>
      </c>
      <c r="D43" s="20">
        <f t="shared" ref="D43:S45" si="30">SUMIFS($C$37:$E$37,$C$30:$E$30,$B43)*D$15</f>
        <v>0</v>
      </c>
      <c r="E43" s="20">
        <f t="shared" si="30"/>
        <v>0</v>
      </c>
      <c r="F43" s="20">
        <f t="shared" si="30"/>
        <v>0</v>
      </c>
      <c r="G43" s="20">
        <f t="shared" si="30"/>
        <v>0</v>
      </c>
      <c r="H43" s="20">
        <f t="shared" si="30"/>
        <v>0</v>
      </c>
      <c r="I43" s="20">
        <f t="shared" si="30"/>
        <v>0</v>
      </c>
      <c r="J43" s="20">
        <f t="shared" si="30"/>
        <v>0</v>
      </c>
      <c r="K43" s="20">
        <f t="shared" si="30"/>
        <v>0</v>
      </c>
      <c r="L43" s="20">
        <f t="shared" si="30"/>
        <v>0</v>
      </c>
      <c r="M43" s="20">
        <f t="shared" si="30"/>
        <v>0</v>
      </c>
      <c r="N43" s="20">
        <f t="shared" si="30"/>
        <v>0</v>
      </c>
      <c r="O43" s="20">
        <f t="shared" si="30"/>
        <v>0</v>
      </c>
      <c r="P43" s="20">
        <f t="shared" si="30"/>
        <v>0</v>
      </c>
      <c r="Q43" s="20">
        <f t="shared" si="30"/>
        <v>0</v>
      </c>
      <c r="R43" s="20">
        <f t="shared" si="30"/>
        <v>0</v>
      </c>
      <c r="S43" s="20">
        <f t="shared" si="30"/>
        <v>0</v>
      </c>
      <c r="T43" s="20">
        <f t="shared" ref="T43:AF45" si="31">SUMIFS($C$37:$E$37,$C$30:$E$30,$B43)*T$15</f>
        <v>0</v>
      </c>
      <c r="U43" s="20">
        <f t="shared" si="31"/>
        <v>0</v>
      </c>
      <c r="V43" s="20">
        <f t="shared" si="31"/>
        <v>0</v>
      </c>
      <c r="W43" s="20">
        <f t="shared" si="31"/>
        <v>0</v>
      </c>
      <c r="X43" s="20">
        <f t="shared" si="31"/>
        <v>0</v>
      </c>
      <c r="Y43" s="20">
        <f t="shared" si="31"/>
        <v>0</v>
      </c>
      <c r="Z43" s="20">
        <f t="shared" si="31"/>
        <v>0</v>
      </c>
      <c r="AA43" s="20">
        <f t="shared" si="31"/>
        <v>0</v>
      </c>
      <c r="AB43" s="20">
        <f t="shared" si="31"/>
        <v>0</v>
      </c>
      <c r="AC43" s="20">
        <f t="shared" si="31"/>
        <v>0</v>
      </c>
      <c r="AD43" s="20">
        <f t="shared" si="31"/>
        <v>0</v>
      </c>
      <c r="AE43" s="20">
        <f t="shared" si="31"/>
        <v>0</v>
      </c>
      <c r="AF43" s="20">
        <f t="shared" si="31"/>
        <v>0</v>
      </c>
    </row>
    <row r="44" spans="2:32" x14ac:dyDescent="0.2">
      <c r="B44" s="3" t="s">
        <v>73</v>
      </c>
      <c r="C44" s="69">
        <f t="shared" ref="C44:C45" si="32">SUMIFS($C$37:$E$37,$C$30:$E$30,$B44)*C$15</f>
        <v>0</v>
      </c>
      <c r="D44" s="75">
        <f t="shared" si="30"/>
        <v>0</v>
      </c>
      <c r="E44" s="75">
        <f t="shared" si="30"/>
        <v>0</v>
      </c>
      <c r="F44" s="75">
        <f t="shared" si="30"/>
        <v>0</v>
      </c>
      <c r="G44" s="75">
        <f t="shared" si="30"/>
        <v>0</v>
      </c>
      <c r="H44" s="75">
        <f t="shared" si="30"/>
        <v>0</v>
      </c>
      <c r="I44" s="75">
        <f t="shared" si="30"/>
        <v>0</v>
      </c>
      <c r="J44" s="75">
        <f t="shared" si="30"/>
        <v>0</v>
      </c>
      <c r="K44" s="75">
        <f t="shared" si="30"/>
        <v>0</v>
      </c>
      <c r="L44" s="75">
        <f t="shared" si="30"/>
        <v>0</v>
      </c>
      <c r="M44" s="75">
        <f t="shared" si="30"/>
        <v>0</v>
      </c>
      <c r="N44" s="75">
        <f t="shared" si="30"/>
        <v>0</v>
      </c>
      <c r="O44" s="75">
        <f t="shared" si="30"/>
        <v>0</v>
      </c>
      <c r="P44" s="75">
        <f t="shared" si="30"/>
        <v>0</v>
      </c>
      <c r="Q44" s="75">
        <f t="shared" si="30"/>
        <v>0</v>
      </c>
      <c r="R44" s="75">
        <f t="shared" si="30"/>
        <v>0</v>
      </c>
      <c r="S44" s="75">
        <f t="shared" si="30"/>
        <v>0</v>
      </c>
      <c r="T44" s="75">
        <f t="shared" si="31"/>
        <v>0</v>
      </c>
      <c r="U44" s="75">
        <f t="shared" si="31"/>
        <v>0</v>
      </c>
      <c r="V44" s="75">
        <f t="shared" si="31"/>
        <v>0</v>
      </c>
      <c r="W44" s="75">
        <f t="shared" si="31"/>
        <v>0</v>
      </c>
      <c r="X44" s="75">
        <f t="shared" si="31"/>
        <v>0</v>
      </c>
      <c r="Y44" s="75">
        <f t="shared" si="31"/>
        <v>0</v>
      </c>
      <c r="Z44" s="75">
        <f t="shared" si="31"/>
        <v>0</v>
      </c>
      <c r="AA44" s="75">
        <f t="shared" si="31"/>
        <v>0</v>
      </c>
      <c r="AB44" s="75">
        <f t="shared" si="31"/>
        <v>0</v>
      </c>
      <c r="AC44" s="75">
        <f t="shared" si="31"/>
        <v>0</v>
      </c>
      <c r="AD44" s="75">
        <f t="shared" si="31"/>
        <v>0</v>
      </c>
      <c r="AE44" s="75">
        <f t="shared" si="31"/>
        <v>0</v>
      </c>
      <c r="AF44" s="75">
        <f t="shared" si="31"/>
        <v>0</v>
      </c>
    </row>
    <row r="45" spans="2:32" x14ac:dyDescent="0.2">
      <c r="B45" s="3" t="s">
        <v>183</v>
      </c>
      <c r="C45" s="70">
        <f t="shared" si="32"/>
        <v>0</v>
      </c>
      <c r="D45" s="76">
        <f t="shared" si="30"/>
        <v>0</v>
      </c>
      <c r="E45" s="76">
        <f t="shared" si="30"/>
        <v>0</v>
      </c>
      <c r="F45" s="76">
        <f t="shared" si="30"/>
        <v>0</v>
      </c>
      <c r="G45" s="76">
        <f t="shared" si="30"/>
        <v>0</v>
      </c>
      <c r="H45" s="76">
        <f t="shared" si="30"/>
        <v>0</v>
      </c>
      <c r="I45" s="76">
        <f t="shared" si="30"/>
        <v>0</v>
      </c>
      <c r="J45" s="76">
        <f t="shared" si="30"/>
        <v>0</v>
      </c>
      <c r="K45" s="76">
        <f t="shared" si="30"/>
        <v>0</v>
      </c>
      <c r="L45" s="76">
        <f t="shared" si="30"/>
        <v>0</v>
      </c>
      <c r="M45" s="76">
        <f t="shared" si="30"/>
        <v>0</v>
      </c>
      <c r="N45" s="76">
        <f t="shared" si="30"/>
        <v>0</v>
      </c>
      <c r="O45" s="76">
        <f t="shared" si="30"/>
        <v>0</v>
      </c>
      <c r="P45" s="76">
        <f t="shared" si="30"/>
        <v>0</v>
      </c>
      <c r="Q45" s="76">
        <f t="shared" si="30"/>
        <v>0</v>
      </c>
      <c r="R45" s="76">
        <f t="shared" si="30"/>
        <v>0</v>
      </c>
      <c r="S45" s="76">
        <f t="shared" si="30"/>
        <v>0</v>
      </c>
      <c r="T45" s="76">
        <f t="shared" si="31"/>
        <v>0</v>
      </c>
      <c r="U45" s="76">
        <f t="shared" si="31"/>
        <v>0</v>
      </c>
      <c r="V45" s="76">
        <f t="shared" si="31"/>
        <v>0</v>
      </c>
      <c r="W45" s="76">
        <f t="shared" si="31"/>
        <v>0</v>
      </c>
      <c r="X45" s="76">
        <f t="shared" si="31"/>
        <v>0</v>
      </c>
      <c r="Y45" s="76">
        <f t="shared" si="31"/>
        <v>0</v>
      </c>
      <c r="Z45" s="76">
        <f t="shared" si="31"/>
        <v>0</v>
      </c>
      <c r="AA45" s="76">
        <f t="shared" si="31"/>
        <v>0</v>
      </c>
      <c r="AB45" s="76">
        <f t="shared" si="31"/>
        <v>0</v>
      </c>
      <c r="AC45" s="76">
        <f t="shared" si="31"/>
        <v>0</v>
      </c>
      <c r="AD45" s="76">
        <f t="shared" si="31"/>
        <v>0</v>
      </c>
      <c r="AE45" s="76">
        <f t="shared" si="31"/>
        <v>0</v>
      </c>
      <c r="AF45" s="76">
        <f t="shared" si="31"/>
        <v>0</v>
      </c>
    </row>
    <row r="46" spans="2:32" x14ac:dyDescent="0.2">
      <c r="B46" s="3" t="s">
        <v>38</v>
      </c>
      <c r="C46" s="15">
        <f t="shared" ref="C46:U46" si="33">SUM(C42:C45)</f>
        <v>0</v>
      </c>
      <c r="D46" s="15">
        <f t="shared" si="33"/>
        <v>0</v>
      </c>
      <c r="E46" s="15">
        <f t="shared" si="33"/>
        <v>0</v>
      </c>
      <c r="F46" s="15">
        <f t="shared" si="33"/>
        <v>0</v>
      </c>
      <c r="G46" s="15">
        <f t="shared" si="33"/>
        <v>0</v>
      </c>
      <c r="H46" s="15">
        <f t="shared" si="33"/>
        <v>0</v>
      </c>
      <c r="I46" s="15">
        <f t="shared" si="33"/>
        <v>0</v>
      </c>
      <c r="J46" s="15">
        <f t="shared" si="33"/>
        <v>0</v>
      </c>
      <c r="K46" s="15">
        <f t="shared" si="33"/>
        <v>0</v>
      </c>
      <c r="L46" s="15">
        <f t="shared" si="33"/>
        <v>0</v>
      </c>
      <c r="M46" s="15">
        <f t="shared" si="33"/>
        <v>0</v>
      </c>
      <c r="N46" s="15">
        <f t="shared" si="33"/>
        <v>0</v>
      </c>
      <c r="O46" s="15">
        <f t="shared" si="33"/>
        <v>0</v>
      </c>
      <c r="P46" s="15">
        <f t="shared" si="33"/>
        <v>0</v>
      </c>
      <c r="Q46" s="15">
        <f t="shared" si="33"/>
        <v>0</v>
      </c>
      <c r="R46" s="15">
        <f t="shared" si="33"/>
        <v>0</v>
      </c>
      <c r="S46" s="15">
        <f t="shared" si="33"/>
        <v>0</v>
      </c>
      <c r="T46" s="15">
        <f t="shared" si="33"/>
        <v>0</v>
      </c>
      <c r="U46" s="15">
        <f t="shared" si="33"/>
        <v>0</v>
      </c>
      <c r="V46" s="15">
        <f t="shared" ref="V46" si="34">SUM(V42:V45)</f>
        <v>0</v>
      </c>
      <c r="W46" s="15">
        <f t="shared" ref="W46" si="35">SUM(W42:W45)</f>
        <v>0</v>
      </c>
      <c r="X46" s="15">
        <f t="shared" ref="X46" si="36">SUM(X42:X45)</f>
        <v>0</v>
      </c>
      <c r="Y46" s="15">
        <f t="shared" ref="Y46" si="37">SUM(Y42:Y45)</f>
        <v>0</v>
      </c>
      <c r="Z46" s="15">
        <f t="shared" ref="Z46" si="38">SUM(Z42:Z45)</f>
        <v>0</v>
      </c>
      <c r="AA46" s="15">
        <f t="shared" ref="AA46" si="39">SUM(AA42:AA45)</f>
        <v>0</v>
      </c>
      <c r="AB46" s="15">
        <f t="shared" ref="AB46" si="40">SUM(AB42:AB45)</f>
        <v>0</v>
      </c>
      <c r="AC46" s="15">
        <f t="shared" ref="AC46" si="41">SUM(AC42:AC45)</f>
        <v>0</v>
      </c>
      <c r="AD46" s="15">
        <f t="shared" ref="AD46" si="42">SUM(AD42:AD45)</f>
        <v>0</v>
      </c>
      <c r="AE46" s="15">
        <f t="shared" ref="AE46" si="43">SUM(AE42:AE45)</f>
        <v>0</v>
      </c>
      <c r="AF46" s="15">
        <f t="shared" ref="AF46" si="44">SUM(AF42:AF45)</f>
        <v>0</v>
      </c>
    </row>
    <row r="47" spans="2:32" x14ac:dyDescent="0.2">
      <c r="AB47"/>
      <c r="AC47"/>
      <c r="AD47"/>
      <c r="AE47"/>
      <c r="AF47"/>
    </row>
    <row r="48" spans="2:32" ht="20.25" x14ac:dyDescent="0.3">
      <c r="B48" s="16" t="s">
        <v>265</v>
      </c>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row>
    <row r="49" spans="2:32" x14ac:dyDescent="0.2">
      <c r="AB49"/>
      <c r="AC49"/>
      <c r="AD49"/>
      <c r="AE49"/>
      <c r="AF49"/>
    </row>
    <row r="50" spans="2:32" ht="15.75" x14ac:dyDescent="0.25">
      <c r="B50" s="17" t="s">
        <v>180</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row>
    <row r="51" spans="2:32" x14ac:dyDescent="0.2">
      <c r="AB51"/>
      <c r="AC51"/>
      <c r="AD51"/>
      <c r="AE51"/>
      <c r="AF51"/>
    </row>
    <row r="52" spans="2:32" ht="15.75" x14ac:dyDescent="0.25">
      <c r="B52" s="11" t="s">
        <v>25</v>
      </c>
      <c r="C52" s="11">
        <v>2021</v>
      </c>
      <c r="D52" s="11">
        <v>2022</v>
      </c>
      <c r="E52" s="11">
        <v>2023</v>
      </c>
      <c r="F52" s="11">
        <v>2024</v>
      </c>
      <c r="G52" s="11">
        <v>2025</v>
      </c>
      <c r="H52" s="11">
        <v>2026</v>
      </c>
      <c r="I52" s="11">
        <v>2027</v>
      </c>
      <c r="J52" s="11">
        <v>2028</v>
      </c>
      <c r="K52" s="11">
        <v>2029</v>
      </c>
      <c r="L52" s="11">
        <v>2030</v>
      </c>
      <c r="M52" s="11">
        <v>2031</v>
      </c>
      <c r="N52" s="11">
        <v>2032</v>
      </c>
      <c r="O52" s="11">
        <v>2033</v>
      </c>
      <c r="P52" s="11">
        <v>2034</v>
      </c>
      <c r="Q52" s="11">
        <v>2035</v>
      </c>
      <c r="R52" s="11">
        <v>2036</v>
      </c>
      <c r="S52" s="11">
        <v>2037</v>
      </c>
      <c r="T52" s="11">
        <v>2038</v>
      </c>
      <c r="U52" s="11">
        <v>2039</v>
      </c>
      <c r="V52" s="11">
        <v>2040</v>
      </c>
      <c r="W52" s="11">
        <v>2041</v>
      </c>
      <c r="X52" s="11">
        <v>2042</v>
      </c>
      <c r="Y52" s="11">
        <v>2043</v>
      </c>
      <c r="Z52" s="11">
        <v>2044</v>
      </c>
      <c r="AA52" s="11">
        <v>2045</v>
      </c>
      <c r="AB52" s="11">
        <v>2046</v>
      </c>
      <c r="AC52" s="11">
        <v>2047</v>
      </c>
      <c r="AD52" s="11">
        <v>2048</v>
      </c>
      <c r="AE52" s="11">
        <v>2049</v>
      </c>
      <c r="AF52" s="11">
        <v>2050</v>
      </c>
    </row>
    <row r="53" spans="2:32" x14ac:dyDescent="0.2">
      <c r="B53" s="3" t="s">
        <v>37</v>
      </c>
      <c r="C53" s="19">
        <f>IF(OR('User interface'!$C32=Lists!$E$10,C$52&lt;'User interface'!$C$28),Calculations!C9,AADT*365*Detour_Length*'Vehicle mix and value of time'!$E9*(1+Traffic_Growth)^(C$52-$C$52))</f>
        <v>0</v>
      </c>
      <c r="D53" s="20">
        <f>IF(OR('User interface'!$C32=Lists!$E$10,D$52&lt;'User interface'!$C$28),Calculations!D9,AADT*365*Detour_Length*'Vehicle mix and value of time'!$E9*(1+Traffic_Growth)^(D$52-$C$52))</f>
        <v>0</v>
      </c>
      <c r="E53" s="20">
        <f>IF(OR('User interface'!$C32=Lists!$E$10,E$52&lt;'User interface'!$C$28),Calculations!E9,AADT*365*Detour_Length*'Vehicle mix and value of time'!$E9*(1+Traffic_Growth)^(E$52-$C$52))</f>
        <v>0</v>
      </c>
      <c r="F53" s="20">
        <f>IF(OR('User interface'!$C32=Lists!$E$10,F$52&lt;'User interface'!$C$28),Calculations!F9,AADT*365*Detour_Length*'Vehicle mix and value of time'!$E9*(1+Traffic_Growth)^(F$52-$C$52))</f>
        <v>0</v>
      </c>
      <c r="G53" s="20">
        <f>IF(OR('User interface'!$C32=Lists!$E$10,G$52&lt;'User interface'!$C$28),Calculations!G9,AADT*365*Detour_Length*'Vehicle mix and value of time'!$E9*(1+Traffic_Growth)^(G$52-$C$52))</f>
        <v>0</v>
      </c>
      <c r="H53" s="20">
        <f>IF(OR('User interface'!$C32=Lists!$E$10,H$52&lt;'User interface'!$C$28),Calculations!H9,AADT*365*Detour_Length*'Vehicle mix and value of time'!$E9*(1+Traffic_Growth)^(H$52-$C$52))</f>
        <v>0</v>
      </c>
      <c r="I53" s="20">
        <f>IF(OR('User interface'!$C32=Lists!$E$10,I$52&lt;'User interface'!$C$28),Calculations!I9,AADT*365*Detour_Length*'Vehicle mix and value of time'!$E9*(1+Traffic_Growth)^(I$52-$C$52))</f>
        <v>0</v>
      </c>
      <c r="J53" s="20">
        <f>IF(OR('User interface'!$C32=Lists!$E$10,J$52&lt;'User interface'!$C$28),Calculations!J9,AADT*365*Detour_Length*'Vehicle mix and value of time'!$E9*(1+Traffic_Growth)^(J$52-$C$52))</f>
        <v>0</v>
      </c>
      <c r="K53" s="20">
        <f>IF(OR('User interface'!$C32=Lists!$E$10,K$52&lt;'User interface'!$C$28),Calculations!K9,AADT*365*Detour_Length*'Vehicle mix and value of time'!$E9*(1+Traffic_Growth)^(K$52-$C$52))</f>
        <v>0</v>
      </c>
      <c r="L53" s="20">
        <f>IF(OR('User interface'!$C32=Lists!$E$10,L$52&lt;'User interface'!$C$28),Calculations!L9,AADT*365*Detour_Length*'Vehicle mix and value of time'!$E9*(1+Traffic_Growth)^(L$52-$C$52))</f>
        <v>0</v>
      </c>
      <c r="M53" s="20">
        <f>IF(OR('User interface'!$C32=Lists!$E$10,M$52&lt;'User interface'!$C$28),Calculations!M9,AADT*365*Detour_Length*'Vehicle mix and value of time'!$E9*(1+Traffic_Growth)^(M$52-$C$52))</f>
        <v>0</v>
      </c>
      <c r="N53" s="20">
        <f>IF(OR('User interface'!$C32=Lists!$E$10,N$52&lt;'User interface'!$C$28),Calculations!N9,AADT*365*Detour_Length*'Vehicle mix and value of time'!$E9*(1+Traffic_Growth)^(N$52-$C$52))</f>
        <v>0</v>
      </c>
      <c r="O53" s="20">
        <f>IF(OR('User interface'!$C32=Lists!$E$10,O$52&lt;'User interface'!$C$28),Calculations!O9,AADT*365*Detour_Length*'Vehicle mix and value of time'!$E9*(1+Traffic_Growth)^(O$52-$C$52))</f>
        <v>0</v>
      </c>
      <c r="P53" s="20">
        <f>IF(OR('User interface'!$C32=Lists!$E$10,P$52&lt;'User interface'!$C$28),Calculations!P9,AADT*365*Detour_Length*'Vehicle mix and value of time'!$E9*(1+Traffic_Growth)^(P$52-$C$52))</f>
        <v>0</v>
      </c>
      <c r="Q53" s="20">
        <f>IF(OR('User interface'!$C32=Lists!$E$10,Q$52&lt;'User interface'!$C$28),Calculations!Q9,AADT*365*Detour_Length*'Vehicle mix and value of time'!$E9*(1+Traffic_Growth)^(Q$52-$C$52))</f>
        <v>0</v>
      </c>
      <c r="R53" s="20">
        <f>IF(OR('User interface'!$C32=Lists!$E$10,R$52&lt;'User interface'!$C$28),Calculations!R9,AADT*365*Detour_Length*'Vehicle mix and value of time'!$E9*(1+Traffic_Growth)^(R$52-$C$52))</f>
        <v>0</v>
      </c>
      <c r="S53" s="20">
        <f>IF(OR('User interface'!$C32=Lists!$E$10,S$52&lt;'User interface'!$C$28),Calculations!S9,AADT*365*Detour_Length*'Vehicle mix and value of time'!$E9*(1+Traffic_Growth)^(S$52-$C$52))</f>
        <v>0</v>
      </c>
      <c r="T53" s="20">
        <f>IF(OR('User interface'!$C32=Lists!$E$10,T$52&lt;'User interface'!$C$28),Calculations!T9,AADT*365*Detour_Length*'Vehicle mix and value of time'!$E9*(1+Traffic_Growth)^(T$52-$C$52))</f>
        <v>0</v>
      </c>
      <c r="U53" s="20">
        <f>IF(OR('User interface'!$C32=Lists!$E$10,U$52&lt;'User interface'!$C$28),Calculations!U9,AADT*365*Detour_Length*'Vehicle mix and value of time'!$E9*(1+Traffic_Growth)^(U$52-$C$52))</f>
        <v>0</v>
      </c>
      <c r="V53" s="20">
        <f>IF(OR('User interface'!$C32=Lists!$E$10,V$52&lt;'User interface'!$C$28),Calculations!V9,AADT*365*Detour_Length*'Vehicle mix and value of time'!$E9*(1+Traffic_Growth)^(V$52-$C$52))</f>
        <v>0</v>
      </c>
      <c r="W53" s="20">
        <f>IF(OR('User interface'!$C32=Lists!$E$10,W$52&lt;'User interface'!$C$28),Calculations!W9,AADT*365*Detour_Length*'Vehicle mix and value of time'!$E9*(1+Traffic_Growth)^(W$52-$C$52))</f>
        <v>0</v>
      </c>
      <c r="X53" s="20">
        <f>IF(OR('User interface'!$C32=Lists!$E$10,X$52&lt;'User interface'!$C$28),Calculations!X9,AADT*365*Detour_Length*'Vehicle mix and value of time'!$E9*(1+Traffic_Growth)^(X$52-$C$52))</f>
        <v>0</v>
      </c>
      <c r="Y53" s="20">
        <f>IF(OR('User interface'!$C32=Lists!$E$10,Y$52&lt;'User interface'!$C$28),Calculations!Y9,AADT*365*Detour_Length*'Vehicle mix and value of time'!$E9*(1+Traffic_Growth)^(Y$52-$C$52))</f>
        <v>0</v>
      </c>
      <c r="Z53" s="20">
        <f>IF(OR('User interface'!$C32=Lists!$E$10,Z$52&lt;'User interface'!$C$28),Calculations!Z9,AADT*365*Detour_Length*'Vehicle mix and value of time'!$E9*(1+Traffic_Growth)^(Z$52-$C$52))</f>
        <v>0</v>
      </c>
      <c r="AA53" s="20">
        <f>IF(OR('User interface'!$C32=Lists!$E$10,AA$52&lt;'User interface'!$C$28),Calculations!AA9,AADT*365*Detour_Length*'Vehicle mix and value of time'!$E9*(1+Traffic_Growth)^(AA$52-$C$52))</f>
        <v>0</v>
      </c>
      <c r="AB53" s="20">
        <f>IF(OR('User interface'!$C32=Lists!$E$10,AB$52&lt;'User interface'!$C$28),Calculations!AB9,AADT*365*Detour_Length*'Vehicle mix and value of time'!$E9*(1+Traffic_Growth)^(AB$52-$C$52))</f>
        <v>0</v>
      </c>
      <c r="AC53" s="20">
        <f>IF(OR('User interface'!$C32=Lists!$E$10,AC$52&lt;'User interface'!$C$28),Calculations!AC9,AADT*365*Detour_Length*'Vehicle mix and value of time'!$E9*(1+Traffic_Growth)^(AC$52-$C$52))</f>
        <v>0</v>
      </c>
      <c r="AD53" s="20">
        <f>IF(OR('User interface'!$C32=Lists!$E$10,AD$52&lt;'User interface'!$C$28),Calculations!AD9,AADT*365*Detour_Length*'Vehicle mix and value of time'!$E9*(1+Traffic_Growth)^(AD$52-$C$52))</f>
        <v>0</v>
      </c>
      <c r="AE53" s="20">
        <f>IF(OR('User interface'!$C32=Lists!$E$10,AE$52&lt;'User interface'!$C$28),Calculations!AE9,AADT*365*Detour_Length*'Vehicle mix and value of time'!$E9*(1+Traffic_Growth)^(AE$52-$C$52))</f>
        <v>0</v>
      </c>
      <c r="AF53" s="68">
        <f>IF(OR('User interface'!$C32=Lists!$E$10,AF$52&lt;'User interface'!$C$28),Calculations!AF9,AADT*365*Detour_Length*'Vehicle mix and value of time'!$E9*(1+Traffic_Growth)^(AF$52-$C$52))</f>
        <v>0</v>
      </c>
    </row>
    <row r="54" spans="2:32" x14ac:dyDescent="0.2">
      <c r="B54" s="3" t="s">
        <v>122</v>
      </c>
      <c r="C54" s="69">
        <f>IF(OR('User interface'!$C33=Lists!$E$10,C$52&lt;'User interface'!$C$28),Calculations!C10,AADT*365*Detour_Length*'Vehicle mix and value of time'!$E10*(1+Traffic_Growth)^(C$52-$C$52))</f>
        <v>0</v>
      </c>
      <c r="D54" s="75">
        <f>IF(OR('User interface'!$C33=Lists!$E$10,D$52&lt;'User interface'!$C$28),Calculations!D10,AADT*365*Detour_Length*'Vehicle mix and value of time'!$E10*(1+Traffic_Growth)^(D$52-$C$52))</f>
        <v>0</v>
      </c>
      <c r="E54" s="75">
        <f>IF(OR('User interface'!$C33=Lists!$E$10,E$52&lt;'User interface'!$C$28),Calculations!E10,AADT*365*Detour_Length*'Vehicle mix and value of time'!$E10*(1+Traffic_Growth)^(E$52-$C$52))</f>
        <v>0</v>
      </c>
      <c r="F54" s="75">
        <f>IF(OR('User interface'!$C33=Lists!$E$10,F$52&lt;'User interface'!$C$28),Calculations!F10,AADT*365*Detour_Length*'Vehicle mix and value of time'!$E10*(1+Traffic_Growth)^(F$52-$C$52))</f>
        <v>0</v>
      </c>
      <c r="G54" s="75">
        <f>IF(OR('User interface'!$C33=Lists!$E$10,G$52&lt;'User interface'!$C$28),Calculations!G10,AADT*365*Detour_Length*'Vehicle mix and value of time'!$E10*(1+Traffic_Growth)^(G$52-$C$52))</f>
        <v>0</v>
      </c>
      <c r="H54" s="75">
        <f>IF(OR('User interface'!$C33=Lists!$E$10,H$52&lt;'User interface'!$C$28),Calculations!H10,AADT*365*Detour_Length*'Vehicle mix and value of time'!$E10*(1+Traffic_Growth)^(H$52-$C$52))</f>
        <v>0</v>
      </c>
      <c r="I54" s="75">
        <f>IF(OR('User interface'!$C33=Lists!$E$10,I$52&lt;'User interface'!$C$28),Calculations!I10,AADT*365*Detour_Length*'Vehicle mix and value of time'!$E10*(1+Traffic_Growth)^(I$52-$C$52))</f>
        <v>0</v>
      </c>
      <c r="J54" s="75">
        <f>IF(OR('User interface'!$C33=Lists!$E$10,J$52&lt;'User interface'!$C$28),Calculations!J10,AADT*365*Detour_Length*'Vehicle mix and value of time'!$E10*(1+Traffic_Growth)^(J$52-$C$52))</f>
        <v>0</v>
      </c>
      <c r="K54" s="75">
        <f>IF(OR('User interface'!$C33=Lists!$E$10,K$52&lt;'User interface'!$C$28),Calculations!K10,AADT*365*Detour_Length*'Vehicle mix and value of time'!$E10*(1+Traffic_Growth)^(K$52-$C$52))</f>
        <v>0</v>
      </c>
      <c r="L54" s="75">
        <f>IF(OR('User interface'!$C33=Lists!$E$10,L$52&lt;'User interface'!$C$28),Calculations!L10,AADT*365*Detour_Length*'Vehicle mix and value of time'!$E10*(1+Traffic_Growth)^(L$52-$C$52))</f>
        <v>0</v>
      </c>
      <c r="M54" s="75">
        <f>IF(OR('User interface'!$C33=Lists!$E$10,M$52&lt;'User interface'!$C$28),Calculations!M10,AADT*365*Detour_Length*'Vehicle mix and value of time'!$E10*(1+Traffic_Growth)^(M$52-$C$52))</f>
        <v>0</v>
      </c>
      <c r="N54" s="75">
        <f>IF(OR('User interface'!$C33=Lists!$E$10,N$52&lt;'User interface'!$C$28),Calculations!N10,AADT*365*Detour_Length*'Vehicle mix and value of time'!$E10*(1+Traffic_Growth)^(N$52-$C$52))</f>
        <v>0</v>
      </c>
      <c r="O54" s="75">
        <f>IF(OR('User interface'!$C33=Lists!$E$10,O$52&lt;'User interface'!$C$28),Calculations!O10,AADT*365*Detour_Length*'Vehicle mix and value of time'!$E10*(1+Traffic_Growth)^(O$52-$C$52))</f>
        <v>0</v>
      </c>
      <c r="P54" s="75">
        <f>IF(OR('User interface'!$C33=Lists!$E$10,P$52&lt;'User interface'!$C$28),Calculations!P10,AADT*365*Detour_Length*'Vehicle mix and value of time'!$E10*(1+Traffic_Growth)^(P$52-$C$52))</f>
        <v>0</v>
      </c>
      <c r="Q54" s="75">
        <f>IF(OR('User interface'!$C33=Lists!$E$10,Q$52&lt;'User interface'!$C$28),Calculations!Q10,AADT*365*Detour_Length*'Vehicle mix and value of time'!$E10*(1+Traffic_Growth)^(Q$52-$C$52))</f>
        <v>0</v>
      </c>
      <c r="R54" s="75">
        <f>IF(OR('User interface'!$C33=Lists!$E$10,R$52&lt;'User interface'!$C$28),Calculations!R10,AADT*365*Detour_Length*'Vehicle mix and value of time'!$E10*(1+Traffic_Growth)^(R$52-$C$52))</f>
        <v>0</v>
      </c>
      <c r="S54" s="75">
        <f>IF(OR('User interface'!$C33=Lists!$E$10,S$52&lt;'User interface'!$C$28),Calculations!S10,AADT*365*Detour_Length*'Vehicle mix and value of time'!$E10*(1+Traffic_Growth)^(S$52-$C$52))</f>
        <v>0</v>
      </c>
      <c r="T54" s="75">
        <f>IF(OR('User interface'!$C33=Lists!$E$10,T$52&lt;'User interface'!$C$28),Calculations!T10,AADT*365*Detour_Length*'Vehicle mix and value of time'!$E10*(1+Traffic_Growth)^(T$52-$C$52))</f>
        <v>0</v>
      </c>
      <c r="U54" s="75">
        <f>IF(OR('User interface'!$C33=Lists!$E$10,U$52&lt;'User interface'!$C$28),Calculations!U10,AADT*365*Detour_Length*'Vehicle mix and value of time'!$E10*(1+Traffic_Growth)^(U$52-$C$52))</f>
        <v>0</v>
      </c>
      <c r="V54" s="75">
        <f>IF(OR('User interface'!$C33=Lists!$E$10,V$52&lt;'User interface'!$C$28),Calculations!V10,AADT*365*Detour_Length*'Vehicle mix and value of time'!$E10*(1+Traffic_Growth)^(V$52-$C$52))</f>
        <v>0</v>
      </c>
      <c r="W54" s="75">
        <f>IF(OR('User interface'!$C33=Lists!$E$10,W$52&lt;'User interface'!$C$28),Calculations!W10,AADT*365*Detour_Length*'Vehicle mix and value of time'!$E10*(1+Traffic_Growth)^(W$52-$C$52))</f>
        <v>0</v>
      </c>
      <c r="X54" s="75">
        <f>IF(OR('User interface'!$C33=Lists!$E$10,X$52&lt;'User interface'!$C$28),Calculations!X10,AADT*365*Detour_Length*'Vehicle mix and value of time'!$E10*(1+Traffic_Growth)^(X$52-$C$52))</f>
        <v>0</v>
      </c>
      <c r="Y54" s="75">
        <f>IF(OR('User interface'!$C33=Lists!$E$10,Y$52&lt;'User interface'!$C$28),Calculations!Y10,AADT*365*Detour_Length*'Vehicle mix and value of time'!$E10*(1+Traffic_Growth)^(Y$52-$C$52))</f>
        <v>0</v>
      </c>
      <c r="Z54" s="75">
        <f>IF(OR('User interface'!$C33=Lists!$E$10,Z$52&lt;'User interface'!$C$28),Calculations!Z10,AADT*365*Detour_Length*'Vehicle mix and value of time'!$E10*(1+Traffic_Growth)^(Z$52-$C$52))</f>
        <v>0</v>
      </c>
      <c r="AA54" s="75">
        <f>IF(OR('User interface'!$C33=Lists!$E$10,AA$52&lt;'User interface'!$C$28),Calculations!AA10,AADT*365*Detour_Length*'Vehicle mix and value of time'!$E10*(1+Traffic_Growth)^(AA$52-$C$52))</f>
        <v>0</v>
      </c>
      <c r="AB54" s="75">
        <f>IF(OR('User interface'!$C33=Lists!$E$10,AB$52&lt;'User interface'!$C$28),Calculations!AB10,AADT*365*Detour_Length*'Vehicle mix and value of time'!$E10*(1+Traffic_Growth)^(AB$52-$C$52))</f>
        <v>0</v>
      </c>
      <c r="AC54" s="75">
        <f>IF(OR('User interface'!$C33=Lists!$E$10,AC$52&lt;'User interface'!$C$28),Calculations!AC10,AADT*365*Detour_Length*'Vehicle mix and value of time'!$E10*(1+Traffic_Growth)^(AC$52-$C$52))</f>
        <v>0</v>
      </c>
      <c r="AD54" s="75">
        <f>IF(OR('User interface'!$C33=Lists!$E$10,AD$52&lt;'User interface'!$C$28),Calculations!AD10,AADT*365*Detour_Length*'Vehicle mix and value of time'!$E10*(1+Traffic_Growth)^(AD$52-$C$52))</f>
        <v>0</v>
      </c>
      <c r="AE54" s="75">
        <f>IF(OR('User interface'!$C33=Lists!$E$10,AE$52&lt;'User interface'!$C$28),Calculations!AE10,AADT*365*Detour_Length*'Vehicle mix and value of time'!$E10*(1+Traffic_Growth)^(AE$52-$C$52))</f>
        <v>0</v>
      </c>
      <c r="AF54" s="21">
        <f>IF(OR('User interface'!$C33=Lists!$E$10,AF$52&lt;'User interface'!$C$28),Calculations!AF10,AADT*365*Detour_Length*'Vehicle mix and value of time'!$E10*(1+Traffic_Growth)^(AF$52-$C$52))</f>
        <v>0</v>
      </c>
    </row>
    <row r="55" spans="2:32" x14ac:dyDescent="0.2">
      <c r="B55" s="3" t="s">
        <v>123</v>
      </c>
      <c r="C55" s="69">
        <f>IF(OR('User interface'!$C34=Lists!$E$10,C$52&lt;'User interface'!$C$28),Calculations!C11,AADT*365*Detour_Length*'Vehicle mix and value of time'!$E11*(1+Traffic_Growth)^(C$52-$C$52))</f>
        <v>0</v>
      </c>
      <c r="D55" s="75">
        <f>IF(OR('User interface'!$C34=Lists!$E$10,D$52&lt;'User interface'!$C$28),Calculations!D11,AADT*365*Detour_Length*'Vehicle mix and value of time'!$E11*(1+Traffic_Growth)^(D$52-$C$52))</f>
        <v>0</v>
      </c>
      <c r="E55" s="75">
        <f>IF(OR('User interface'!$C34=Lists!$E$10,E$52&lt;'User interface'!$C$28),Calculations!E11,AADT*365*Detour_Length*'Vehicle mix and value of time'!$E11*(1+Traffic_Growth)^(E$52-$C$52))</f>
        <v>0</v>
      </c>
      <c r="F55" s="75">
        <f>IF(OR('User interface'!$C34=Lists!$E$10,F$52&lt;'User interface'!$C$28),Calculations!F11,AADT*365*Detour_Length*'Vehicle mix and value of time'!$E11*(1+Traffic_Growth)^(F$52-$C$52))</f>
        <v>0</v>
      </c>
      <c r="G55" s="75">
        <f>IF(OR('User interface'!$C34=Lists!$E$10,G$52&lt;'User interface'!$C$28),Calculations!G11,AADT*365*Detour_Length*'Vehicle mix and value of time'!$E11*(1+Traffic_Growth)^(G$52-$C$52))</f>
        <v>0</v>
      </c>
      <c r="H55" s="75">
        <f>IF(OR('User interface'!$C34=Lists!$E$10,H$52&lt;'User interface'!$C$28),Calculations!H11,AADT*365*Detour_Length*'Vehicle mix and value of time'!$E11*(1+Traffic_Growth)^(H$52-$C$52))</f>
        <v>0</v>
      </c>
      <c r="I55" s="75">
        <f>IF(OR('User interface'!$C34=Lists!$E$10,I$52&lt;'User interface'!$C$28),Calculations!I11,AADT*365*Detour_Length*'Vehicle mix and value of time'!$E11*(1+Traffic_Growth)^(I$52-$C$52))</f>
        <v>0</v>
      </c>
      <c r="J55" s="75">
        <f>IF(OR('User interface'!$C34=Lists!$E$10,J$52&lt;'User interface'!$C$28),Calculations!J11,AADT*365*Detour_Length*'Vehicle mix and value of time'!$E11*(1+Traffic_Growth)^(J$52-$C$52))</f>
        <v>0</v>
      </c>
      <c r="K55" s="75">
        <f>IF(OR('User interface'!$C34=Lists!$E$10,K$52&lt;'User interface'!$C$28),Calculations!K11,AADT*365*Detour_Length*'Vehicle mix and value of time'!$E11*(1+Traffic_Growth)^(K$52-$C$52))</f>
        <v>0</v>
      </c>
      <c r="L55" s="75">
        <f>IF(OR('User interface'!$C34=Lists!$E$10,L$52&lt;'User interface'!$C$28),Calculations!L11,AADT*365*Detour_Length*'Vehicle mix and value of time'!$E11*(1+Traffic_Growth)^(L$52-$C$52))</f>
        <v>0</v>
      </c>
      <c r="M55" s="75">
        <f>IF(OR('User interface'!$C34=Lists!$E$10,M$52&lt;'User interface'!$C$28),Calculations!M11,AADT*365*Detour_Length*'Vehicle mix and value of time'!$E11*(1+Traffic_Growth)^(M$52-$C$52))</f>
        <v>0</v>
      </c>
      <c r="N55" s="75">
        <f>IF(OR('User interface'!$C34=Lists!$E$10,N$52&lt;'User interface'!$C$28),Calculations!N11,AADT*365*Detour_Length*'Vehicle mix and value of time'!$E11*(1+Traffic_Growth)^(N$52-$C$52))</f>
        <v>0</v>
      </c>
      <c r="O55" s="75">
        <f>IF(OR('User interface'!$C34=Lists!$E$10,O$52&lt;'User interface'!$C$28),Calculations!O11,AADT*365*Detour_Length*'Vehicle mix and value of time'!$E11*(1+Traffic_Growth)^(O$52-$C$52))</f>
        <v>0</v>
      </c>
      <c r="P55" s="75">
        <f>IF(OR('User interface'!$C34=Lists!$E$10,P$52&lt;'User interface'!$C$28),Calculations!P11,AADT*365*Detour_Length*'Vehicle mix and value of time'!$E11*(1+Traffic_Growth)^(P$52-$C$52))</f>
        <v>0</v>
      </c>
      <c r="Q55" s="75">
        <f>IF(OR('User interface'!$C34=Lists!$E$10,Q$52&lt;'User interface'!$C$28),Calculations!Q11,AADT*365*Detour_Length*'Vehicle mix and value of time'!$E11*(1+Traffic_Growth)^(Q$52-$C$52))</f>
        <v>0</v>
      </c>
      <c r="R55" s="75">
        <f>IF(OR('User interface'!$C34=Lists!$E$10,R$52&lt;'User interface'!$C$28),Calculations!R11,AADT*365*Detour_Length*'Vehicle mix and value of time'!$E11*(1+Traffic_Growth)^(R$52-$C$52))</f>
        <v>0</v>
      </c>
      <c r="S55" s="75">
        <f>IF(OR('User interface'!$C34=Lists!$E$10,S$52&lt;'User interface'!$C$28),Calculations!S11,AADT*365*Detour_Length*'Vehicle mix and value of time'!$E11*(1+Traffic_Growth)^(S$52-$C$52))</f>
        <v>0</v>
      </c>
      <c r="T55" s="75">
        <f>IF(OR('User interface'!$C34=Lists!$E$10,T$52&lt;'User interface'!$C$28),Calculations!T11,AADT*365*Detour_Length*'Vehicle mix and value of time'!$E11*(1+Traffic_Growth)^(T$52-$C$52))</f>
        <v>0</v>
      </c>
      <c r="U55" s="75">
        <f>IF(OR('User interface'!$C34=Lists!$E$10,U$52&lt;'User interface'!$C$28),Calculations!U11,AADT*365*Detour_Length*'Vehicle mix and value of time'!$E11*(1+Traffic_Growth)^(U$52-$C$52))</f>
        <v>0</v>
      </c>
      <c r="V55" s="75">
        <f>IF(OR('User interface'!$C34=Lists!$E$10,V$52&lt;'User interface'!$C$28),Calculations!V11,AADT*365*Detour_Length*'Vehicle mix and value of time'!$E11*(1+Traffic_Growth)^(V$52-$C$52))</f>
        <v>0</v>
      </c>
      <c r="W55" s="75">
        <f>IF(OR('User interface'!$C34=Lists!$E$10,W$52&lt;'User interface'!$C$28),Calculations!W11,AADT*365*Detour_Length*'Vehicle mix and value of time'!$E11*(1+Traffic_Growth)^(W$52-$C$52))</f>
        <v>0</v>
      </c>
      <c r="X55" s="75">
        <f>IF(OR('User interface'!$C34=Lists!$E$10,X$52&lt;'User interface'!$C$28),Calculations!X11,AADT*365*Detour_Length*'Vehicle mix and value of time'!$E11*(1+Traffic_Growth)^(X$52-$C$52))</f>
        <v>0</v>
      </c>
      <c r="Y55" s="75">
        <f>IF(OR('User interface'!$C34=Lists!$E$10,Y$52&lt;'User interface'!$C$28),Calculations!Y11,AADT*365*Detour_Length*'Vehicle mix and value of time'!$E11*(1+Traffic_Growth)^(Y$52-$C$52))</f>
        <v>0</v>
      </c>
      <c r="Z55" s="75">
        <f>IF(OR('User interface'!$C34=Lists!$E$10,Z$52&lt;'User interface'!$C$28),Calculations!Z11,AADT*365*Detour_Length*'Vehicle mix and value of time'!$E11*(1+Traffic_Growth)^(Z$52-$C$52))</f>
        <v>0</v>
      </c>
      <c r="AA55" s="75">
        <f>IF(OR('User interface'!$C34=Lists!$E$10,AA$52&lt;'User interface'!$C$28),Calculations!AA11,AADT*365*Detour_Length*'Vehicle mix and value of time'!$E11*(1+Traffic_Growth)^(AA$52-$C$52))</f>
        <v>0</v>
      </c>
      <c r="AB55" s="75">
        <f>IF(OR('User interface'!$C34=Lists!$E$10,AB$52&lt;'User interface'!$C$28),Calculations!AB11,AADT*365*Detour_Length*'Vehicle mix and value of time'!$E11*(1+Traffic_Growth)^(AB$52-$C$52))</f>
        <v>0</v>
      </c>
      <c r="AC55" s="75">
        <f>IF(OR('User interface'!$C34=Lists!$E$10,AC$52&lt;'User interface'!$C$28),Calculations!AC11,AADT*365*Detour_Length*'Vehicle mix and value of time'!$E11*(1+Traffic_Growth)^(AC$52-$C$52))</f>
        <v>0</v>
      </c>
      <c r="AD55" s="75">
        <f>IF(OR('User interface'!$C34=Lists!$E$10,AD$52&lt;'User interface'!$C$28),Calculations!AD11,AADT*365*Detour_Length*'Vehicle mix and value of time'!$E11*(1+Traffic_Growth)^(AD$52-$C$52))</f>
        <v>0</v>
      </c>
      <c r="AE55" s="75">
        <f>IF(OR('User interface'!$C34=Lists!$E$10,AE$52&lt;'User interface'!$C$28),Calculations!AE11,AADT*365*Detour_Length*'Vehicle mix and value of time'!$E11*(1+Traffic_Growth)^(AE$52-$C$52))</f>
        <v>0</v>
      </c>
      <c r="AF55" s="21">
        <f>IF(OR('User interface'!$C34=Lists!$E$10,AF$52&lt;'User interface'!$C$28),Calculations!AF11,AADT*365*Detour_Length*'Vehicle mix and value of time'!$E11*(1+Traffic_Growth)^(AF$52-$C$52))</f>
        <v>0</v>
      </c>
    </row>
    <row r="56" spans="2:32" x14ac:dyDescent="0.2">
      <c r="B56" s="3" t="s">
        <v>40</v>
      </c>
      <c r="C56" s="69">
        <f>IF(OR('User interface'!$C35=Lists!$E$10,C$52&lt;'User interface'!$C$28),Calculations!C12,AADT*365*Detour_Length*'Vehicle mix and value of time'!$E12*(1+Traffic_Growth)^(C$52-$C$52))</f>
        <v>0</v>
      </c>
      <c r="D56" s="75">
        <f>IF(OR('User interface'!$C35=Lists!$E$10,D$52&lt;'User interface'!$C$28),Calculations!D12,AADT*365*Detour_Length*'Vehicle mix and value of time'!$E12*(1+Traffic_Growth)^(D$52-$C$52))</f>
        <v>0</v>
      </c>
      <c r="E56" s="75">
        <f>IF(OR('User interface'!$C35=Lists!$E$10,E$52&lt;'User interface'!$C$28),Calculations!E12,AADT*365*Detour_Length*'Vehicle mix and value of time'!$E12*(1+Traffic_Growth)^(E$52-$C$52))</f>
        <v>0</v>
      </c>
      <c r="F56" s="75">
        <f>IF(OR('User interface'!$C35=Lists!$E$10,F$52&lt;'User interface'!$C$28),Calculations!F12,AADT*365*Detour_Length*'Vehicle mix and value of time'!$E12*(1+Traffic_Growth)^(F$52-$C$52))</f>
        <v>0</v>
      </c>
      <c r="G56" s="75">
        <f>IF(OR('User interface'!$C35=Lists!$E$10,G$52&lt;'User interface'!$C$28),Calculations!G12,AADT*365*Detour_Length*'Vehicle mix and value of time'!$E12*(1+Traffic_Growth)^(G$52-$C$52))</f>
        <v>0</v>
      </c>
      <c r="H56" s="75">
        <f>IF(OR('User interface'!$C35=Lists!$E$10,H$52&lt;'User interface'!$C$28),Calculations!H12,AADT*365*Detour_Length*'Vehicle mix and value of time'!$E12*(1+Traffic_Growth)^(H$52-$C$52))</f>
        <v>0</v>
      </c>
      <c r="I56" s="75">
        <f>IF(OR('User interface'!$C35=Lists!$E$10,I$52&lt;'User interface'!$C$28),Calculations!I12,AADT*365*Detour_Length*'Vehicle mix and value of time'!$E12*(1+Traffic_Growth)^(I$52-$C$52))</f>
        <v>0</v>
      </c>
      <c r="J56" s="75">
        <f>IF(OR('User interface'!$C35=Lists!$E$10,J$52&lt;'User interface'!$C$28),Calculations!J12,AADT*365*Detour_Length*'Vehicle mix and value of time'!$E12*(1+Traffic_Growth)^(J$52-$C$52))</f>
        <v>0</v>
      </c>
      <c r="K56" s="75">
        <f>IF(OR('User interface'!$C35=Lists!$E$10,K$52&lt;'User interface'!$C$28),Calculations!K12,AADT*365*Detour_Length*'Vehicle mix and value of time'!$E12*(1+Traffic_Growth)^(K$52-$C$52))</f>
        <v>0</v>
      </c>
      <c r="L56" s="75">
        <f>IF(OR('User interface'!$C35=Lists!$E$10,L$52&lt;'User interface'!$C$28),Calculations!L12,AADT*365*Detour_Length*'Vehicle mix and value of time'!$E12*(1+Traffic_Growth)^(L$52-$C$52))</f>
        <v>0</v>
      </c>
      <c r="M56" s="75">
        <f>IF(OR('User interface'!$C35=Lists!$E$10,M$52&lt;'User interface'!$C$28),Calculations!M12,AADT*365*Detour_Length*'Vehicle mix and value of time'!$E12*(1+Traffic_Growth)^(M$52-$C$52))</f>
        <v>0</v>
      </c>
      <c r="N56" s="75">
        <f>IF(OR('User interface'!$C35=Lists!$E$10,N$52&lt;'User interface'!$C$28),Calculations!N12,AADT*365*Detour_Length*'Vehicle mix and value of time'!$E12*(1+Traffic_Growth)^(N$52-$C$52))</f>
        <v>0</v>
      </c>
      <c r="O56" s="75">
        <f>IF(OR('User interface'!$C35=Lists!$E$10,O$52&lt;'User interface'!$C$28),Calculations!O12,AADT*365*Detour_Length*'Vehicle mix and value of time'!$E12*(1+Traffic_Growth)^(O$52-$C$52))</f>
        <v>0</v>
      </c>
      <c r="P56" s="75">
        <f>IF(OR('User interface'!$C35=Lists!$E$10,P$52&lt;'User interface'!$C$28),Calculations!P12,AADT*365*Detour_Length*'Vehicle mix and value of time'!$E12*(1+Traffic_Growth)^(P$52-$C$52))</f>
        <v>0</v>
      </c>
      <c r="Q56" s="75">
        <f>IF(OR('User interface'!$C35=Lists!$E$10,Q$52&lt;'User interface'!$C$28),Calculations!Q12,AADT*365*Detour_Length*'Vehicle mix and value of time'!$E12*(1+Traffic_Growth)^(Q$52-$C$52))</f>
        <v>0</v>
      </c>
      <c r="R56" s="75">
        <f>IF(OR('User interface'!$C35=Lists!$E$10,R$52&lt;'User interface'!$C$28),Calculations!R12,AADT*365*Detour_Length*'Vehicle mix and value of time'!$E12*(1+Traffic_Growth)^(R$52-$C$52))</f>
        <v>0</v>
      </c>
      <c r="S56" s="75">
        <f>IF(OR('User interface'!$C35=Lists!$E$10,S$52&lt;'User interface'!$C$28),Calculations!S12,AADT*365*Detour_Length*'Vehicle mix and value of time'!$E12*(1+Traffic_Growth)^(S$52-$C$52))</f>
        <v>0</v>
      </c>
      <c r="T56" s="75">
        <f>IF(OR('User interface'!$C35=Lists!$E$10,T$52&lt;'User interface'!$C$28),Calculations!T12,AADT*365*Detour_Length*'Vehicle mix and value of time'!$E12*(1+Traffic_Growth)^(T$52-$C$52))</f>
        <v>0</v>
      </c>
      <c r="U56" s="75">
        <f>IF(OR('User interface'!$C35=Lists!$E$10,U$52&lt;'User interface'!$C$28),Calculations!U12,AADT*365*Detour_Length*'Vehicle mix and value of time'!$E12*(1+Traffic_Growth)^(U$52-$C$52))</f>
        <v>0</v>
      </c>
      <c r="V56" s="75">
        <f>IF(OR('User interface'!$C35=Lists!$E$10,V$52&lt;'User interface'!$C$28),Calculations!V12,AADT*365*Detour_Length*'Vehicle mix and value of time'!$E12*(1+Traffic_Growth)^(V$52-$C$52))</f>
        <v>0</v>
      </c>
      <c r="W56" s="75">
        <f>IF(OR('User interface'!$C35=Lists!$E$10,W$52&lt;'User interface'!$C$28),Calculations!W12,AADT*365*Detour_Length*'Vehicle mix and value of time'!$E12*(1+Traffic_Growth)^(W$52-$C$52))</f>
        <v>0</v>
      </c>
      <c r="X56" s="75">
        <f>IF(OR('User interface'!$C35=Lists!$E$10,X$52&lt;'User interface'!$C$28),Calculations!X12,AADT*365*Detour_Length*'Vehicle mix and value of time'!$E12*(1+Traffic_Growth)^(X$52-$C$52))</f>
        <v>0</v>
      </c>
      <c r="Y56" s="75">
        <f>IF(OR('User interface'!$C35=Lists!$E$10,Y$52&lt;'User interface'!$C$28),Calculations!Y12,AADT*365*Detour_Length*'Vehicle mix and value of time'!$E12*(1+Traffic_Growth)^(Y$52-$C$52))</f>
        <v>0</v>
      </c>
      <c r="Z56" s="75">
        <f>IF(OR('User interface'!$C35=Lists!$E$10,Z$52&lt;'User interface'!$C$28),Calculations!Z12,AADT*365*Detour_Length*'Vehicle mix and value of time'!$E12*(1+Traffic_Growth)^(Z$52-$C$52))</f>
        <v>0</v>
      </c>
      <c r="AA56" s="75">
        <f>IF(OR('User interface'!$C35=Lists!$E$10,AA$52&lt;'User interface'!$C$28),Calculations!AA12,AADT*365*Detour_Length*'Vehicle mix and value of time'!$E12*(1+Traffic_Growth)^(AA$52-$C$52))</f>
        <v>0</v>
      </c>
      <c r="AB56" s="75">
        <f>IF(OR('User interface'!$C35=Lists!$E$10,AB$52&lt;'User interface'!$C$28),Calculations!AB12,AADT*365*Detour_Length*'Vehicle mix and value of time'!$E12*(1+Traffic_Growth)^(AB$52-$C$52))</f>
        <v>0</v>
      </c>
      <c r="AC56" s="75">
        <f>IF(OR('User interface'!$C35=Lists!$E$10,AC$52&lt;'User interface'!$C$28),Calculations!AC12,AADT*365*Detour_Length*'Vehicle mix and value of time'!$E12*(1+Traffic_Growth)^(AC$52-$C$52))</f>
        <v>0</v>
      </c>
      <c r="AD56" s="75">
        <f>IF(OR('User interface'!$C35=Lists!$E$10,AD$52&lt;'User interface'!$C$28),Calculations!AD12,AADT*365*Detour_Length*'Vehicle mix and value of time'!$E12*(1+Traffic_Growth)^(AD$52-$C$52))</f>
        <v>0</v>
      </c>
      <c r="AE56" s="75">
        <f>IF(OR('User interface'!$C35=Lists!$E$10,AE$52&lt;'User interface'!$C$28),Calculations!AE12,AADT*365*Detour_Length*'Vehicle mix and value of time'!$E12*(1+Traffic_Growth)^(AE$52-$C$52))</f>
        <v>0</v>
      </c>
      <c r="AF56" s="21">
        <f>IF(OR('User interface'!$C35=Lists!$E$10,AF$52&lt;'User interface'!$C$28),Calculations!AF12,AADT*365*Detour_Length*'Vehicle mix and value of time'!$E12*(1+Traffic_Growth)^(AF$52-$C$52))</f>
        <v>0</v>
      </c>
    </row>
    <row r="57" spans="2:32" x14ac:dyDescent="0.2">
      <c r="B57" s="3" t="s">
        <v>41</v>
      </c>
      <c r="C57" s="69">
        <f>IF(OR('User interface'!$C36=Lists!$E$10,C$52&lt;'User interface'!$C$28),Calculations!C13,AADT*365*Detour_Length*'Vehicle mix and value of time'!$E13*(1+Traffic_Growth)^(C$52-$C$52))</f>
        <v>0</v>
      </c>
      <c r="D57" s="75">
        <f>IF(OR('User interface'!$C36=Lists!$E$10,D$52&lt;'User interface'!$C$28),Calculations!D13,AADT*365*Detour_Length*'Vehicle mix and value of time'!$E13*(1+Traffic_Growth)^(D$52-$C$52))</f>
        <v>0</v>
      </c>
      <c r="E57" s="75">
        <f>IF(OR('User interface'!$C36=Lists!$E$10,E$52&lt;'User interface'!$C$28),Calculations!E13,AADT*365*Detour_Length*'Vehicle mix and value of time'!$E13*(1+Traffic_Growth)^(E$52-$C$52))</f>
        <v>0</v>
      </c>
      <c r="F57" s="75">
        <f>IF(OR('User interface'!$C36=Lists!$E$10,F$52&lt;'User interface'!$C$28),Calculations!F13,AADT*365*Detour_Length*'Vehicle mix and value of time'!$E13*(1+Traffic_Growth)^(F$52-$C$52))</f>
        <v>0</v>
      </c>
      <c r="G57" s="75">
        <f>IF(OR('User interface'!$C36=Lists!$E$10,G$52&lt;'User interface'!$C$28),Calculations!G13,AADT*365*Detour_Length*'Vehicle mix and value of time'!$E13*(1+Traffic_Growth)^(G$52-$C$52))</f>
        <v>0</v>
      </c>
      <c r="H57" s="75">
        <f>IF(OR('User interface'!$C36=Lists!$E$10,H$52&lt;'User interface'!$C$28),Calculations!H13,AADT*365*Detour_Length*'Vehicle mix and value of time'!$E13*(1+Traffic_Growth)^(H$52-$C$52))</f>
        <v>0</v>
      </c>
      <c r="I57" s="75">
        <f>IF(OR('User interface'!$C36=Lists!$E$10,I$52&lt;'User interface'!$C$28),Calculations!I13,AADT*365*Detour_Length*'Vehicle mix and value of time'!$E13*(1+Traffic_Growth)^(I$52-$C$52))</f>
        <v>0</v>
      </c>
      <c r="J57" s="75">
        <f>IF(OR('User interface'!$C36=Lists!$E$10,J$52&lt;'User interface'!$C$28),Calculations!J13,AADT*365*Detour_Length*'Vehicle mix and value of time'!$E13*(1+Traffic_Growth)^(J$52-$C$52))</f>
        <v>0</v>
      </c>
      <c r="K57" s="75">
        <f>IF(OR('User interface'!$C36=Lists!$E$10,K$52&lt;'User interface'!$C$28),Calculations!K13,AADT*365*Detour_Length*'Vehicle mix and value of time'!$E13*(1+Traffic_Growth)^(K$52-$C$52))</f>
        <v>0</v>
      </c>
      <c r="L57" s="75">
        <f>IF(OR('User interface'!$C36=Lists!$E$10,L$52&lt;'User interface'!$C$28),Calculations!L13,AADT*365*Detour_Length*'Vehicle mix and value of time'!$E13*(1+Traffic_Growth)^(L$52-$C$52))</f>
        <v>0</v>
      </c>
      <c r="M57" s="75">
        <f>IF(OR('User interface'!$C36=Lists!$E$10,M$52&lt;'User interface'!$C$28),Calculations!M13,AADT*365*Detour_Length*'Vehicle mix and value of time'!$E13*(1+Traffic_Growth)^(M$52-$C$52))</f>
        <v>0</v>
      </c>
      <c r="N57" s="75">
        <f>IF(OR('User interface'!$C36=Lists!$E$10,N$52&lt;'User interface'!$C$28),Calculations!N13,AADT*365*Detour_Length*'Vehicle mix and value of time'!$E13*(1+Traffic_Growth)^(N$52-$C$52))</f>
        <v>0</v>
      </c>
      <c r="O57" s="75">
        <f>IF(OR('User interface'!$C36=Lists!$E$10,O$52&lt;'User interface'!$C$28),Calculations!O13,AADT*365*Detour_Length*'Vehicle mix and value of time'!$E13*(1+Traffic_Growth)^(O$52-$C$52))</f>
        <v>0</v>
      </c>
      <c r="P57" s="75">
        <f>IF(OR('User interface'!$C36=Lists!$E$10,P$52&lt;'User interface'!$C$28),Calculations!P13,AADT*365*Detour_Length*'Vehicle mix and value of time'!$E13*(1+Traffic_Growth)^(P$52-$C$52))</f>
        <v>0</v>
      </c>
      <c r="Q57" s="75">
        <f>IF(OR('User interface'!$C36=Lists!$E$10,Q$52&lt;'User interface'!$C$28),Calculations!Q13,AADT*365*Detour_Length*'Vehicle mix and value of time'!$E13*(1+Traffic_Growth)^(Q$52-$C$52))</f>
        <v>0</v>
      </c>
      <c r="R57" s="75">
        <f>IF(OR('User interface'!$C36=Lists!$E$10,R$52&lt;'User interface'!$C$28),Calculations!R13,AADT*365*Detour_Length*'Vehicle mix and value of time'!$E13*(1+Traffic_Growth)^(R$52-$C$52))</f>
        <v>0</v>
      </c>
      <c r="S57" s="75">
        <f>IF(OR('User interface'!$C36=Lists!$E$10,S$52&lt;'User interface'!$C$28),Calculations!S13,AADT*365*Detour_Length*'Vehicle mix and value of time'!$E13*(1+Traffic_Growth)^(S$52-$C$52))</f>
        <v>0</v>
      </c>
      <c r="T57" s="75">
        <f>IF(OR('User interface'!$C36=Lists!$E$10,T$52&lt;'User interface'!$C$28),Calculations!T13,AADT*365*Detour_Length*'Vehicle mix and value of time'!$E13*(1+Traffic_Growth)^(T$52-$C$52))</f>
        <v>0</v>
      </c>
      <c r="U57" s="75">
        <f>IF(OR('User interface'!$C36=Lists!$E$10,U$52&lt;'User interface'!$C$28),Calculations!U13,AADT*365*Detour_Length*'Vehicle mix and value of time'!$E13*(1+Traffic_Growth)^(U$52-$C$52))</f>
        <v>0</v>
      </c>
      <c r="V57" s="75">
        <f>IF(OR('User interface'!$C36=Lists!$E$10,V$52&lt;'User interface'!$C$28),Calculations!V13,AADT*365*Detour_Length*'Vehicle mix and value of time'!$E13*(1+Traffic_Growth)^(V$52-$C$52))</f>
        <v>0</v>
      </c>
      <c r="W57" s="75">
        <f>IF(OR('User interface'!$C36=Lists!$E$10,W$52&lt;'User interface'!$C$28),Calculations!W13,AADT*365*Detour_Length*'Vehicle mix and value of time'!$E13*(1+Traffic_Growth)^(W$52-$C$52))</f>
        <v>0</v>
      </c>
      <c r="X57" s="75">
        <f>IF(OR('User interface'!$C36=Lists!$E$10,X$52&lt;'User interface'!$C$28),Calculations!X13,AADT*365*Detour_Length*'Vehicle mix and value of time'!$E13*(1+Traffic_Growth)^(X$52-$C$52))</f>
        <v>0</v>
      </c>
      <c r="Y57" s="75">
        <f>IF(OR('User interface'!$C36=Lists!$E$10,Y$52&lt;'User interface'!$C$28),Calculations!Y13,AADT*365*Detour_Length*'Vehicle mix and value of time'!$E13*(1+Traffic_Growth)^(Y$52-$C$52))</f>
        <v>0</v>
      </c>
      <c r="Z57" s="75">
        <f>IF(OR('User interface'!$C36=Lists!$E$10,Z$52&lt;'User interface'!$C$28),Calculations!Z13,AADT*365*Detour_Length*'Vehicle mix and value of time'!$E13*(1+Traffic_Growth)^(Z$52-$C$52))</f>
        <v>0</v>
      </c>
      <c r="AA57" s="75">
        <f>IF(OR('User interface'!$C36=Lists!$E$10,AA$52&lt;'User interface'!$C$28),Calculations!AA13,AADT*365*Detour_Length*'Vehicle mix and value of time'!$E13*(1+Traffic_Growth)^(AA$52-$C$52))</f>
        <v>0</v>
      </c>
      <c r="AB57" s="75">
        <f>IF(OR('User interface'!$C36=Lists!$E$10,AB$52&lt;'User interface'!$C$28),Calculations!AB13,AADT*365*Detour_Length*'Vehicle mix and value of time'!$E13*(1+Traffic_Growth)^(AB$52-$C$52))</f>
        <v>0</v>
      </c>
      <c r="AC57" s="75">
        <f>IF(OR('User interface'!$C36=Lists!$E$10,AC$52&lt;'User interface'!$C$28),Calculations!AC13,AADT*365*Detour_Length*'Vehicle mix and value of time'!$E13*(1+Traffic_Growth)^(AC$52-$C$52))</f>
        <v>0</v>
      </c>
      <c r="AD57" s="75">
        <f>IF(OR('User interface'!$C36=Lists!$E$10,AD$52&lt;'User interface'!$C$28),Calculations!AD13,AADT*365*Detour_Length*'Vehicle mix and value of time'!$E13*(1+Traffic_Growth)^(AD$52-$C$52))</f>
        <v>0</v>
      </c>
      <c r="AE57" s="75">
        <f>IF(OR('User interface'!$C36=Lists!$E$10,AE$52&lt;'User interface'!$C$28),Calculations!AE13,AADT*365*Detour_Length*'Vehicle mix and value of time'!$E13*(1+Traffic_Growth)^(AE$52-$C$52))</f>
        <v>0</v>
      </c>
      <c r="AF57" s="21">
        <f>IF(OR('User interface'!$C36=Lists!$E$10,AF$52&lt;'User interface'!$C$28),Calculations!AF13,AADT*365*Detour_Length*'Vehicle mix and value of time'!$E13*(1+Traffic_Growth)^(AF$52-$C$52))</f>
        <v>0</v>
      </c>
    </row>
    <row r="58" spans="2:32" x14ac:dyDescent="0.2">
      <c r="B58" s="3" t="s">
        <v>84</v>
      </c>
      <c r="C58" s="70">
        <f>IF(OR('User interface'!$C37=Lists!$E$10,C$52&lt;'User interface'!$C$28),Calculations!C14,AADT*365*Detour_Length*'Vehicle mix and value of time'!$E14*(1+Traffic_Growth)^(C$52-$C$52))</f>
        <v>0</v>
      </c>
      <c r="D58" s="76">
        <f>IF(OR('User interface'!$C37=Lists!$E$10,D$52&lt;'User interface'!$C$28),Calculations!D14,AADT*365*Detour_Length*'Vehicle mix and value of time'!$E14*(1+Traffic_Growth)^(D$52-$C$52))</f>
        <v>0</v>
      </c>
      <c r="E58" s="76">
        <f>IF(OR('User interface'!$C37=Lists!$E$10,E$52&lt;'User interface'!$C$28),Calculations!E14,AADT*365*Detour_Length*'Vehicle mix and value of time'!$E14*(1+Traffic_Growth)^(E$52-$C$52))</f>
        <v>0</v>
      </c>
      <c r="F58" s="76">
        <f>IF(OR('User interface'!$C37=Lists!$E$10,F$52&lt;'User interface'!$C$28),Calculations!F14,AADT*365*Detour_Length*'Vehicle mix and value of time'!$E14*(1+Traffic_Growth)^(F$52-$C$52))</f>
        <v>0</v>
      </c>
      <c r="G58" s="76">
        <f>IF(OR('User interface'!$C37=Lists!$E$10,G$52&lt;'User interface'!$C$28),Calculations!G14,AADT*365*Detour_Length*'Vehicle mix and value of time'!$E14*(1+Traffic_Growth)^(G$52-$C$52))</f>
        <v>0</v>
      </c>
      <c r="H58" s="76">
        <f>IF(OR('User interface'!$C37=Lists!$E$10,H$52&lt;'User interface'!$C$28),Calculations!H14,AADT*365*Detour_Length*'Vehicle mix and value of time'!$E14*(1+Traffic_Growth)^(H$52-$C$52))</f>
        <v>0</v>
      </c>
      <c r="I58" s="76">
        <f>IF(OR('User interface'!$C37=Lists!$E$10,I$52&lt;'User interface'!$C$28),Calculations!I14,AADT*365*Detour_Length*'Vehicle mix and value of time'!$E14*(1+Traffic_Growth)^(I$52-$C$52))</f>
        <v>0</v>
      </c>
      <c r="J58" s="76">
        <f>IF(OR('User interface'!$C37=Lists!$E$10,J$52&lt;'User interface'!$C$28),Calculations!J14,AADT*365*Detour_Length*'Vehicle mix and value of time'!$E14*(1+Traffic_Growth)^(J$52-$C$52))</f>
        <v>0</v>
      </c>
      <c r="K58" s="76">
        <f>IF(OR('User interface'!$C37=Lists!$E$10,K$52&lt;'User interface'!$C$28),Calculations!K14,AADT*365*Detour_Length*'Vehicle mix and value of time'!$E14*(1+Traffic_Growth)^(K$52-$C$52))</f>
        <v>0</v>
      </c>
      <c r="L58" s="76">
        <f>IF(OR('User interface'!$C37=Lists!$E$10,L$52&lt;'User interface'!$C$28),Calculations!L14,AADT*365*Detour_Length*'Vehicle mix and value of time'!$E14*(1+Traffic_Growth)^(L$52-$C$52))</f>
        <v>0</v>
      </c>
      <c r="M58" s="76">
        <f>IF(OR('User interface'!$C37=Lists!$E$10,M$52&lt;'User interface'!$C$28),Calculations!M14,AADT*365*Detour_Length*'Vehicle mix and value of time'!$E14*(1+Traffic_Growth)^(M$52-$C$52))</f>
        <v>0</v>
      </c>
      <c r="N58" s="76">
        <f>IF(OR('User interface'!$C37=Lists!$E$10,N$52&lt;'User interface'!$C$28),Calculations!N14,AADT*365*Detour_Length*'Vehicle mix and value of time'!$E14*(1+Traffic_Growth)^(N$52-$C$52))</f>
        <v>0</v>
      </c>
      <c r="O58" s="76">
        <f>IF(OR('User interface'!$C37=Lists!$E$10,O$52&lt;'User interface'!$C$28),Calculations!O14,AADT*365*Detour_Length*'Vehicle mix and value of time'!$E14*(1+Traffic_Growth)^(O$52-$C$52))</f>
        <v>0</v>
      </c>
      <c r="P58" s="76">
        <f>IF(OR('User interface'!$C37=Lists!$E$10,P$52&lt;'User interface'!$C$28),Calculations!P14,AADT*365*Detour_Length*'Vehicle mix and value of time'!$E14*(1+Traffic_Growth)^(P$52-$C$52))</f>
        <v>0</v>
      </c>
      <c r="Q58" s="76">
        <f>IF(OR('User interface'!$C37=Lists!$E$10,Q$52&lt;'User interface'!$C$28),Calculations!Q14,AADT*365*Detour_Length*'Vehicle mix and value of time'!$E14*(1+Traffic_Growth)^(Q$52-$C$52))</f>
        <v>0</v>
      </c>
      <c r="R58" s="76">
        <f>IF(OR('User interface'!$C37=Lists!$E$10,R$52&lt;'User interface'!$C$28),Calculations!R14,AADT*365*Detour_Length*'Vehicle mix and value of time'!$E14*(1+Traffic_Growth)^(R$52-$C$52))</f>
        <v>0</v>
      </c>
      <c r="S58" s="76">
        <f>IF(OR('User interface'!$C37=Lists!$E$10,S$52&lt;'User interface'!$C$28),Calculations!S14,AADT*365*Detour_Length*'Vehicle mix and value of time'!$E14*(1+Traffic_Growth)^(S$52-$C$52))</f>
        <v>0</v>
      </c>
      <c r="T58" s="76">
        <f>IF(OR('User interface'!$C37=Lists!$E$10,T$52&lt;'User interface'!$C$28),Calculations!T14,AADT*365*Detour_Length*'Vehicle mix and value of time'!$E14*(1+Traffic_Growth)^(T$52-$C$52))</f>
        <v>0</v>
      </c>
      <c r="U58" s="76">
        <f>IF(OR('User interface'!$C37=Lists!$E$10,U$52&lt;'User interface'!$C$28),Calculations!U14,AADT*365*Detour_Length*'Vehicle mix and value of time'!$E14*(1+Traffic_Growth)^(U$52-$C$52))</f>
        <v>0</v>
      </c>
      <c r="V58" s="76">
        <f>IF(OR('User interface'!$C37=Lists!$E$10,V$52&lt;'User interface'!$C$28),Calculations!V14,AADT*365*Detour_Length*'Vehicle mix and value of time'!$E14*(1+Traffic_Growth)^(V$52-$C$52))</f>
        <v>0</v>
      </c>
      <c r="W58" s="76">
        <f>IF(OR('User interface'!$C37=Lists!$E$10,W$52&lt;'User interface'!$C$28),Calculations!W14,AADT*365*Detour_Length*'Vehicle mix and value of time'!$E14*(1+Traffic_Growth)^(W$52-$C$52))</f>
        <v>0</v>
      </c>
      <c r="X58" s="76">
        <f>IF(OR('User interface'!$C37=Lists!$E$10,X$52&lt;'User interface'!$C$28),Calculations!X14,AADT*365*Detour_Length*'Vehicle mix and value of time'!$E14*(1+Traffic_Growth)^(X$52-$C$52))</f>
        <v>0</v>
      </c>
      <c r="Y58" s="76">
        <f>IF(OR('User interface'!$C37=Lists!$E$10,Y$52&lt;'User interface'!$C$28),Calculations!Y14,AADT*365*Detour_Length*'Vehicle mix and value of time'!$E14*(1+Traffic_Growth)^(Y$52-$C$52))</f>
        <v>0</v>
      </c>
      <c r="Z58" s="76">
        <f>IF(OR('User interface'!$C37=Lists!$E$10,Z$52&lt;'User interface'!$C$28),Calculations!Z14,AADT*365*Detour_Length*'Vehicle mix and value of time'!$E14*(1+Traffic_Growth)^(Z$52-$C$52))</f>
        <v>0</v>
      </c>
      <c r="AA58" s="76">
        <f>IF(OR('User interface'!$C37=Lists!$E$10,AA$52&lt;'User interface'!$C$28),Calculations!AA14,AADT*365*Detour_Length*'Vehicle mix and value of time'!$E14*(1+Traffic_Growth)^(AA$52-$C$52))</f>
        <v>0</v>
      </c>
      <c r="AB58" s="76">
        <f>IF(OR('User interface'!$C37=Lists!$E$10,AB$52&lt;'User interface'!$C$28),Calculations!AB14,AADT*365*Detour_Length*'Vehicle mix and value of time'!$E14*(1+Traffic_Growth)^(AB$52-$C$52))</f>
        <v>0</v>
      </c>
      <c r="AC58" s="76">
        <f>IF(OR('User interface'!$C37=Lists!$E$10,AC$52&lt;'User interface'!$C$28),Calculations!AC14,AADT*365*Detour_Length*'Vehicle mix and value of time'!$E14*(1+Traffic_Growth)^(AC$52-$C$52))</f>
        <v>0</v>
      </c>
      <c r="AD58" s="76">
        <f>IF(OR('User interface'!$C37=Lists!$E$10,AD$52&lt;'User interface'!$C$28),Calculations!AD14,AADT*365*Detour_Length*'Vehicle mix and value of time'!$E14*(1+Traffic_Growth)^(AD$52-$C$52))</f>
        <v>0</v>
      </c>
      <c r="AE58" s="76">
        <f>IF(OR('User interface'!$C37=Lists!$E$10,AE$52&lt;'User interface'!$C$28),Calculations!AE14,AADT*365*Detour_Length*'Vehicle mix and value of time'!$E14*(1+Traffic_Growth)^(AE$52-$C$52))</f>
        <v>0</v>
      </c>
      <c r="AF58" s="71">
        <f>IF(OR('User interface'!$C37=Lists!$E$10,AF$52&lt;'User interface'!$C$28),Calculations!AF14,AADT*365*Detour_Length*'Vehicle mix and value of time'!$E14*(1+Traffic_Growth)^(AF$52-$C$52))</f>
        <v>0</v>
      </c>
    </row>
    <row r="59" spans="2:32" x14ac:dyDescent="0.2">
      <c r="B59" s="3" t="s">
        <v>38</v>
      </c>
      <c r="C59" s="15">
        <f>SUM(C53:C58)</f>
        <v>0</v>
      </c>
      <c r="D59" s="15">
        <f t="shared" ref="D59" si="45">SUM(D53:D58)</f>
        <v>0</v>
      </c>
      <c r="E59" s="15">
        <f t="shared" ref="E59" si="46">SUM(E53:E58)</f>
        <v>0</v>
      </c>
      <c r="F59" s="15">
        <f t="shared" ref="F59" si="47">SUM(F53:F58)</f>
        <v>0</v>
      </c>
      <c r="G59" s="15">
        <f t="shared" ref="G59" si="48">SUM(G53:G58)</f>
        <v>0</v>
      </c>
      <c r="H59" s="15">
        <f t="shared" ref="H59" si="49">SUM(H53:H58)</f>
        <v>0</v>
      </c>
      <c r="I59" s="15">
        <f t="shared" ref="I59" si="50">SUM(I53:I58)</f>
        <v>0</v>
      </c>
      <c r="J59" s="15">
        <f t="shared" ref="J59" si="51">SUM(J53:J58)</f>
        <v>0</v>
      </c>
      <c r="K59" s="15">
        <f t="shared" ref="K59" si="52">SUM(K53:K58)</f>
        <v>0</v>
      </c>
      <c r="L59" s="15">
        <f t="shared" ref="L59" si="53">SUM(L53:L58)</f>
        <v>0</v>
      </c>
      <c r="M59" s="15">
        <f t="shared" ref="M59" si="54">SUM(M53:M58)</f>
        <v>0</v>
      </c>
      <c r="N59" s="15">
        <f t="shared" ref="N59" si="55">SUM(N53:N58)</f>
        <v>0</v>
      </c>
      <c r="O59" s="15">
        <f t="shared" ref="O59" si="56">SUM(O53:O58)</f>
        <v>0</v>
      </c>
      <c r="P59" s="15">
        <f t="shared" ref="P59" si="57">SUM(P53:P58)</f>
        <v>0</v>
      </c>
      <c r="Q59" s="15">
        <f t="shared" ref="Q59" si="58">SUM(Q53:Q58)</f>
        <v>0</v>
      </c>
      <c r="R59" s="15">
        <f t="shared" ref="R59" si="59">SUM(R53:R58)</f>
        <v>0</v>
      </c>
      <c r="S59" s="15">
        <f t="shared" ref="S59" si="60">SUM(S53:S58)</f>
        <v>0</v>
      </c>
      <c r="T59" s="15">
        <f t="shared" ref="T59" si="61">SUM(T53:T58)</f>
        <v>0</v>
      </c>
      <c r="U59" s="15">
        <f t="shared" ref="U59:AF59" si="62">SUM(U53:U58)</f>
        <v>0</v>
      </c>
      <c r="V59" s="15">
        <f t="shared" si="62"/>
        <v>0</v>
      </c>
      <c r="W59" s="15">
        <f t="shared" si="62"/>
        <v>0</v>
      </c>
      <c r="X59" s="15">
        <f t="shared" si="62"/>
        <v>0</v>
      </c>
      <c r="Y59" s="15">
        <f t="shared" si="62"/>
        <v>0</v>
      </c>
      <c r="Z59" s="15">
        <f t="shared" si="62"/>
        <v>0</v>
      </c>
      <c r="AA59" s="15">
        <f t="shared" si="62"/>
        <v>0</v>
      </c>
      <c r="AB59" s="15">
        <f t="shared" si="62"/>
        <v>0</v>
      </c>
      <c r="AC59" s="15">
        <f t="shared" si="62"/>
        <v>0</v>
      </c>
      <c r="AD59" s="15">
        <f t="shared" si="62"/>
        <v>0</v>
      </c>
      <c r="AE59" s="15">
        <f t="shared" si="62"/>
        <v>0</v>
      </c>
      <c r="AF59" s="15">
        <f t="shared" si="62"/>
        <v>0</v>
      </c>
    </row>
    <row r="60" spans="2:32" x14ac:dyDescent="0.2">
      <c r="AB60"/>
      <c r="AC60"/>
      <c r="AD60"/>
      <c r="AE60"/>
      <c r="AF60"/>
    </row>
    <row r="61" spans="2:32" ht="15.75" x14ac:dyDescent="0.25">
      <c r="B61" s="17" t="s">
        <v>259</v>
      </c>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row>
    <row r="62" spans="2:32" x14ac:dyDescent="0.2">
      <c r="AB62"/>
      <c r="AC62"/>
      <c r="AD62"/>
      <c r="AE62"/>
      <c r="AF62"/>
    </row>
    <row r="63" spans="2:32" ht="15.75" x14ac:dyDescent="0.25">
      <c r="B63" s="11" t="s">
        <v>25</v>
      </c>
      <c r="C63" s="11">
        <v>2021</v>
      </c>
      <c r="D63" s="11">
        <v>2022</v>
      </c>
      <c r="E63" s="11">
        <v>2023</v>
      </c>
      <c r="F63" s="11">
        <v>2024</v>
      </c>
      <c r="G63" s="11">
        <v>2025</v>
      </c>
      <c r="H63" s="11">
        <v>2026</v>
      </c>
      <c r="I63" s="11">
        <v>2027</v>
      </c>
      <c r="J63" s="11">
        <v>2028</v>
      </c>
      <c r="K63" s="11">
        <v>2029</v>
      </c>
      <c r="L63" s="11">
        <v>2030</v>
      </c>
      <c r="M63" s="11">
        <v>2031</v>
      </c>
      <c r="N63" s="11">
        <v>2032</v>
      </c>
      <c r="O63" s="11">
        <v>2033</v>
      </c>
      <c r="P63" s="11">
        <v>2034</v>
      </c>
      <c r="Q63" s="11">
        <v>2035</v>
      </c>
      <c r="R63" s="11">
        <v>2036</v>
      </c>
      <c r="S63" s="11">
        <v>2037</v>
      </c>
      <c r="T63" s="11">
        <v>2038</v>
      </c>
      <c r="U63" s="11">
        <v>2039</v>
      </c>
      <c r="V63" s="11">
        <v>2040</v>
      </c>
      <c r="W63" s="11">
        <v>2041</v>
      </c>
      <c r="X63" s="11">
        <v>2042</v>
      </c>
      <c r="Y63" s="11">
        <v>2043</v>
      </c>
      <c r="Z63" s="11">
        <v>2044</v>
      </c>
      <c r="AA63" s="11">
        <v>2045</v>
      </c>
      <c r="AB63" s="11">
        <v>2046</v>
      </c>
      <c r="AC63" s="11">
        <v>2047</v>
      </c>
      <c r="AD63" s="11">
        <v>2048</v>
      </c>
      <c r="AE63" s="11">
        <v>2049</v>
      </c>
      <c r="AF63" s="11">
        <v>2050</v>
      </c>
    </row>
    <row r="64" spans="2:32" x14ac:dyDescent="0.2">
      <c r="B64" s="3" t="s">
        <v>37</v>
      </c>
      <c r="C64" s="15">
        <f>IF(OR('User interface'!$C32=Lists!$E$10,C$52&lt;'User interface'!$C$28),Calculations!C20,C53/Detour_Speed)</f>
        <v>0</v>
      </c>
      <c r="D64" s="15">
        <f>IF(OR('User interface'!$C32=Lists!$E$10,D$52&lt;'User interface'!$C$28),Calculations!D20,D53/Detour_Speed)</f>
        <v>0</v>
      </c>
      <c r="E64" s="15">
        <f>IF(OR('User interface'!$C32=Lists!$E$10,E$52&lt;'User interface'!$C$28),Calculations!E20,E53/Detour_Speed)</f>
        <v>0</v>
      </c>
      <c r="F64" s="15">
        <f>IF(OR('User interface'!$C32=Lists!$E$10,F$52&lt;'User interface'!$C$28),Calculations!F20,F53/Detour_Speed)</f>
        <v>0</v>
      </c>
      <c r="G64" s="15">
        <f>IF(OR('User interface'!$C32=Lists!$E$10,G$52&lt;'User interface'!$C$28),Calculations!G20,G53/Detour_Speed)</f>
        <v>0</v>
      </c>
      <c r="H64" s="15">
        <f>IF(OR('User interface'!$C32=Lists!$E$10,H$52&lt;'User interface'!$C$28),Calculations!H20,H53/Detour_Speed)</f>
        <v>0</v>
      </c>
      <c r="I64" s="15">
        <f>IF(OR('User interface'!$C32=Lists!$E$10,I$52&lt;'User interface'!$C$28),Calculations!I20,I53/Detour_Speed)</f>
        <v>0</v>
      </c>
      <c r="J64" s="15">
        <f>IF(OR('User interface'!$C32=Lists!$E$10,J$52&lt;'User interface'!$C$28),Calculations!J20,J53/Detour_Speed)</f>
        <v>0</v>
      </c>
      <c r="K64" s="15">
        <f>IF(OR('User interface'!$C32=Lists!$E$10,K$52&lt;'User interface'!$C$28),Calculations!K20,K53/Detour_Speed)</f>
        <v>0</v>
      </c>
      <c r="L64" s="15">
        <f>IF(OR('User interface'!$C32=Lists!$E$10,L$52&lt;'User interface'!$C$28),Calculations!L20,L53/Detour_Speed)</f>
        <v>0</v>
      </c>
      <c r="M64" s="15">
        <f>IF(OR('User interface'!$C32=Lists!$E$10,M$52&lt;'User interface'!$C$28),Calculations!M20,M53/Detour_Speed)</f>
        <v>0</v>
      </c>
      <c r="N64" s="15">
        <f>IF(OR('User interface'!$C32=Lists!$E$10,N$52&lt;'User interface'!$C$28),Calculations!N20,N53/Detour_Speed)</f>
        <v>0</v>
      </c>
      <c r="O64" s="15">
        <f>IF(OR('User interface'!$C32=Lists!$E$10,O$52&lt;'User interface'!$C$28),Calculations!O20,O53/Detour_Speed)</f>
        <v>0</v>
      </c>
      <c r="P64" s="15">
        <f>IF(OR('User interface'!$C32=Lists!$E$10,P$52&lt;'User interface'!$C$28),Calculations!P20,P53/Detour_Speed)</f>
        <v>0</v>
      </c>
      <c r="Q64" s="15">
        <f>IF(OR('User interface'!$C32=Lists!$E$10,Q$52&lt;'User interface'!$C$28),Calculations!Q20,Q53/Detour_Speed)</f>
        <v>0</v>
      </c>
      <c r="R64" s="15">
        <f>IF(OR('User interface'!$C32=Lists!$E$10,R$52&lt;'User interface'!$C$28),Calculations!R20,R53/Detour_Speed)</f>
        <v>0</v>
      </c>
      <c r="S64" s="15">
        <f>IF(OR('User interface'!$C32=Lists!$E$10,S$52&lt;'User interface'!$C$28),Calculations!S20,S53/Detour_Speed)</f>
        <v>0</v>
      </c>
      <c r="T64" s="15">
        <f>IF(OR('User interface'!$C32=Lists!$E$10,T$52&lt;'User interface'!$C$28),Calculations!T20,T53/Detour_Speed)</f>
        <v>0</v>
      </c>
      <c r="U64" s="15">
        <f>IF(OR('User interface'!$C32=Lists!$E$10,U$52&lt;'User interface'!$C$28),Calculations!U20,U53/Detour_Speed)</f>
        <v>0</v>
      </c>
      <c r="V64" s="15">
        <f>IF(OR('User interface'!$C32=Lists!$E$10,V$52&lt;'User interface'!$C$28),Calculations!V20,V53/Detour_Speed)</f>
        <v>0</v>
      </c>
      <c r="W64" s="15">
        <f>IF(OR('User interface'!$C32=Lists!$E$10,W$52&lt;'User interface'!$C$28),Calculations!W20,W53/Detour_Speed)</f>
        <v>0</v>
      </c>
      <c r="X64" s="15">
        <f>IF(OR('User interface'!$C32=Lists!$E$10,X$52&lt;'User interface'!$C$28),Calculations!X20,X53/Detour_Speed)</f>
        <v>0</v>
      </c>
      <c r="Y64" s="15">
        <f>IF(OR('User interface'!$C32=Lists!$E$10,Y$52&lt;'User interface'!$C$28),Calculations!Y20,Y53/Detour_Speed)</f>
        <v>0</v>
      </c>
      <c r="Z64" s="15">
        <f>IF(OR('User interface'!$C32=Lists!$E$10,Z$52&lt;'User interface'!$C$28),Calculations!Z20,Z53/Detour_Speed)</f>
        <v>0</v>
      </c>
      <c r="AA64" s="15">
        <f>IF(OR('User interface'!$C32=Lists!$E$10,AA$52&lt;'User interface'!$C$28),Calculations!AA20,AA53/Detour_Speed)</f>
        <v>0</v>
      </c>
      <c r="AB64" s="15">
        <f>IF(OR('User interface'!$C32=Lists!$E$10,AB$52&lt;'User interface'!$C$28),Calculations!AB20,AB53/Detour_Speed)</f>
        <v>0</v>
      </c>
      <c r="AC64" s="15">
        <f>IF(OR('User interface'!$C32=Lists!$E$10,AC$52&lt;'User interface'!$C$28),Calculations!AC20,AC53/Detour_Speed)</f>
        <v>0</v>
      </c>
      <c r="AD64" s="15">
        <f>IF(OR('User interface'!$C32=Lists!$E$10,AD$52&lt;'User interface'!$C$28),Calculations!AD20,AD53/Detour_Speed)</f>
        <v>0</v>
      </c>
      <c r="AE64" s="15">
        <f>IF(OR('User interface'!$C32=Lists!$E$10,AE$52&lt;'User interface'!$C$28),Calculations!AE20,AE53/Detour_Speed)</f>
        <v>0</v>
      </c>
      <c r="AF64" s="15">
        <f>IF(OR('User interface'!$C32=Lists!$E$10,AF$52&lt;'User interface'!$C$28),Calculations!AF20,AF53/Detour_Speed)</f>
        <v>0</v>
      </c>
    </row>
    <row r="65" spans="2:32" x14ac:dyDescent="0.2">
      <c r="B65" s="3" t="s">
        <v>122</v>
      </c>
      <c r="C65" s="15">
        <f>IF(OR('User interface'!$C33=Lists!$E$10,C$52&lt;'User interface'!$C$28),Calculations!C21,C54/Detour_Speed)</f>
        <v>0</v>
      </c>
      <c r="D65" s="15">
        <f>IF(OR('User interface'!$C33=Lists!$E$10,D$52&lt;'User interface'!$C$28),Calculations!D21,D54/Detour_Speed)</f>
        <v>0</v>
      </c>
      <c r="E65" s="15">
        <f>IF(OR('User interface'!$C33=Lists!$E$10,E$52&lt;'User interface'!$C$28),Calculations!E21,E54/Detour_Speed)</f>
        <v>0</v>
      </c>
      <c r="F65" s="15">
        <f>IF(OR('User interface'!$C33=Lists!$E$10,F$52&lt;'User interface'!$C$28),Calculations!F21,F54/Detour_Speed)</f>
        <v>0</v>
      </c>
      <c r="G65" s="15">
        <f>IF(OR('User interface'!$C33=Lists!$E$10,G$52&lt;'User interface'!$C$28),Calculations!G21,G54/Detour_Speed)</f>
        <v>0</v>
      </c>
      <c r="H65" s="15">
        <f>IF(OR('User interface'!$C33=Lists!$E$10,H$52&lt;'User interface'!$C$28),Calculations!H21,H54/Detour_Speed)</f>
        <v>0</v>
      </c>
      <c r="I65" s="15">
        <f>IF(OR('User interface'!$C33=Lists!$E$10,I$52&lt;'User interface'!$C$28),Calculations!I21,I54/Detour_Speed)</f>
        <v>0</v>
      </c>
      <c r="J65" s="15">
        <f>IF(OR('User interface'!$C33=Lists!$E$10,J$52&lt;'User interface'!$C$28),Calculations!J21,J54/Detour_Speed)</f>
        <v>0</v>
      </c>
      <c r="K65" s="15">
        <f>IF(OR('User interface'!$C33=Lists!$E$10,K$52&lt;'User interface'!$C$28),Calculations!K21,K54/Detour_Speed)</f>
        <v>0</v>
      </c>
      <c r="L65" s="15">
        <f>IF(OR('User interface'!$C33=Lists!$E$10,L$52&lt;'User interface'!$C$28),Calculations!L21,L54/Detour_Speed)</f>
        <v>0</v>
      </c>
      <c r="M65" s="15">
        <f>IF(OR('User interface'!$C33=Lists!$E$10,M$52&lt;'User interface'!$C$28),Calculations!M21,M54/Detour_Speed)</f>
        <v>0</v>
      </c>
      <c r="N65" s="15">
        <f>IF(OR('User interface'!$C33=Lists!$E$10,N$52&lt;'User interface'!$C$28),Calculations!N21,N54/Detour_Speed)</f>
        <v>0</v>
      </c>
      <c r="O65" s="15">
        <f>IF(OR('User interface'!$C33=Lists!$E$10,O$52&lt;'User interface'!$C$28),Calculations!O21,O54/Detour_Speed)</f>
        <v>0</v>
      </c>
      <c r="P65" s="15">
        <f>IF(OR('User interface'!$C33=Lists!$E$10,P$52&lt;'User interface'!$C$28),Calculations!P21,P54/Detour_Speed)</f>
        <v>0</v>
      </c>
      <c r="Q65" s="15">
        <f>IF(OR('User interface'!$C33=Lists!$E$10,Q$52&lt;'User interface'!$C$28),Calculations!Q21,Q54/Detour_Speed)</f>
        <v>0</v>
      </c>
      <c r="R65" s="15">
        <f>IF(OR('User interface'!$C33=Lists!$E$10,R$52&lt;'User interface'!$C$28),Calculations!R21,R54/Detour_Speed)</f>
        <v>0</v>
      </c>
      <c r="S65" s="15">
        <f>IF(OR('User interface'!$C33=Lists!$E$10,S$52&lt;'User interface'!$C$28),Calculations!S21,S54/Detour_Speed)</f>
        <v>0</v>
      </c>
      <c r="T65" s="15">
        <f>IF(OR('User interface'!$C33=Lists!$E$10,T$52&lt;'User interface'!$C$28),Calculations!T21,T54/Detour_Speed)</f>
        <v>0</v>
      </c>
      <c r="U65" s="15">
        <f>IF(OR('User interface'!$C33=Lists!$E$10,U$52&lt;'User interface'!$C$28),Calculations!U21,U54/Detour_Speed)</f>
        <v>0</v>
      </c>
      <c r="V65" s="15">
        <f>IF(OR('User interface'!$C33=Lists!$E$10,V$52&lt;'User interface'!$C$28),Calculations!V21,V54/Detour_Speed)</f>
        <v>0</v>
      </c>
      <c r="W65" s="15">
        <f>IF(OR('User interface'!$C33=Lists!$E$10,W$52&lt;'User interface'!$C$28),Calculations!W21,W54/Detour_Speed)</f>
        <v>0</v>
      </c>
      <c r="X65" s="15">
        <f>IF(OR('User interface'!$C33=Lists!$E$10,X$52&lt;'User interface'!$C$28),Calculations!X21,X54/Detour_Speed)</f>
        <v>0</v>
      </c>
      <c r="Y65" s="15">
        <f>IF(OR('User interface'!$C33=Lists!$E$10,Y$52&lt;'User interface'!$C$28),Calculations!Y21,Y54/Detour_Speed)</f>
        <v>0</v>
      </c>
      <c r="Z65" s="15">
        <f>IF(OR('User interface'!$C33=Lists!$E$10,Z$52&lt;'User interface'!$C$28),Calculations!Z21,Z54/Detour_Speed)</f>
        <v>0</v>
      </c>
      <c r="AA65" s="15">
        <f>IF(OR('User interface'!$C33=Lists!$E$10,AA$52&lt;'User interface'!$C$28),Calculations!AA21,AA54/Detour_Speed)</f>
        <v>0</v>
      </c>
      <c r="AB65" s="15">
        <f>IF(OR('User interface'!$C33=Lists!$E$10,AB$52&lt;'User interface'!$C$28),Calculations!AB21,AB54/Detour_Speed)</f>
        <v>0</v>
      </c>
      <c r="AC65" s="15">
        <f>IF(OR('User interface'!$C33=Lists!$E$10,AC$52&lt;'User interface'!$C$28),Calculations!AC21,AC54/Detour_Speed)</f>
        <v>0</v>
      </c>
      <c r="AD65" s="15">
        <f>IF(OR('User interface'!$C33=Lists!$E$10,AD$52&lt;'User interface'!$C$28),Calculations!AD21,AD54/Detour_Speed)</f>
        <v>0</v>
      </c>
      <c r="AE65" s="15">
        <f>IF(OR('User interface'!$C33=Lists!$E$10,AE$52&lt;'User interface'!$C$28),Calculations!AE21,AE54/Detour_Speed)</f>
        <v>0</v>
      </c>
      <c r="AF65" s="15">
        <f>IF(OR('User interface'!$C33=Lists!$E$10,AF$52&lt;'User interface'!$C$28),Calculations!AF21,AF54/Detour_Speed)</f>
        <v>0</v>
      </c>
    </row>
    <row r="66" spans="2:32" x14ac:dyDescent="0.2">
      <c r="B66" s="3" t="s">
        <v>123</v>
      </c>
      <c r="C66" s="15">
        <f>IF(OR('User interface'!$C34=Lists!$E$10,C$52&lt;'User interface'!$C$28),Calculations!C22,C55/Detour_Speed)</f>
        <v>0</v>
      </c>
      <c r="D66" s="15">
        <f>IF(OR('User interface'!$C34=Lists!$E$10,D$52&lt;'User interface'!$C$28),Calculations!D22,D55/Detour_Speed)</f>
        <v>0</v>
      </c>
      <c r="E66" s="15">
        <f>IF(OR('User interface'!$C34=Lists!$E$10,E$52&lt;'User interface'!$C$28),Calculations!E22,E55/Detour_Speed)</f>
        <v>0</v>
      </c>
      <c r="F66" s="15">
        <f>IF(OR('User interface'!$C34=Lists!$E$10,F$52&lt;'User interface'!$C$28),Calculations!F22,F55/Detour_Speed)</f>
        <v>0</v>
      </c>
      <c r="G66" s="15">
        <f>IF(OR('User interface'!$C34=Lists!$E$10,G$52&lt;'User interface'!$C$28),Calculations!G22,G55/Detour_Speed)</f>
        <v>0</v>
      </c>
      <c r="H66" s="15">
        <f>IF(OR('User interface'!$C34=Lists!$E$10,H$52&lt;'User interface'!$C$28),Calculations!H22,H55/Detour_Speed)</f>
        <v>0</v>
      </c>
      <c r="I66" s="15">
        <f>IF(OR('User interface'!$C34=Lists!$E$10,I$52&lt;'User interface'!$C$28),Calculations!I22,I55/Detour_Speed)</f>
        <v>0</v>
      </c>
      <c r="J66" s="15">
        <f>IF(OR('User interface'!$C34=Lists!$E$10,J$52&lt;'User interface'!$C$28),Calculations!J22,J55/Detour_Speed)</f>
        <v>0</v>
      </c>
      <c r="K66" s="15">
        <f>IF(OR('User interface'!$C34=Lists!$E$10,K$52&lt;'User interface'!$C$28),Calculations!K22,K55/Detour_Speed)</f>
        <v>0</v>
      </c>
      <c r="L66" s="15">
        <f>IF(OR('User interface'!$C34=Lists!$E$10,L$52&lt;'User interface'!$C$28),Calculations!L22,L55/Detour_Speed)</f>
        <v>0</v>
      </c>
      <c r="M66" s="15">
        <f>IF(OR('User interface'!$C34=Lists!$E$10,M$52&lt;'User interface'!$C$28),Calculations!M22,M55/Detour_Speed)</f>
        <v>0</v>
      </c>
      <c r="N66" s="15">
        <f>IF(OR('User interface'!$C34=Lists!$E$10,N$52&lt;'User interface'!$C$28),Calculations!N22,N55/Detour_Speed)</f>
        <v>0</v>
      </c>
      <c r="O66" s="15">
        <f>IF(OR('User interface'!$C34=Lists!$E$10,O$52&lt;'User interface'!$C$28),Calculations!O22,O55/Detour_Speed)</f>
        <v>0</v>
      </c>
      <c r="P66" s="15">
        <f>IF(OR('User interface'!$C34=Lists!$E$10,P$52&lt;'User interface'!$C$28),Calculations!P22,P55/Detour_Speed)</f>
        <v>0</v>
      </c>
      <c r="Q66" s="15">
        <f>IF(OR('User interface'!$C34=Lists!$E$10,Q$52&lt;'User interface'!$C$28),Calculations!Q22,Q55/Detour_Speed)</f>
        <v>0</v>
      </c>
      <c r="R66" s="15">
        <f>IF(OR('User interface'!$C34=Lists!$E$10,R$52&lt;'User interface'!$C$28),Calculations!R22,R55/Detour_Speed)</f>
        <v>0</v>
      </c>
      <c r="S66" s="15">
        <f>IF(OR('User interface'!$C34=Lists!$E$10,S$52&lt;'User interface'!$C$28),Calculations!S22,S55/Detour_Speed)</f>
        <v>0</v>
      </c>
      <c r="T66" s="15">
        <f>IF(OR('User interface'!$C34=Lists!$E$10,T$52&lt;'User interface'!$C$28),Calculations!T22,T55/Detour_Speed)</f>
        <v>0</v>
      </c>
      <c r="U66" s="15">
        <f>IF(OR('User interface'!$C34=Lists!$E$10,U$52&lt;'User interface'!$C$28),Calculations!U22,U55/Detour_Speed)</f>
        <v>0</v>
      </c>
      <c r="V66" s="15">
        <f>IF(OR('User interface'!$C34=Lists!$E$10,V$52&lt;'User interface'!$C$28),Calculations!V22,V55/Detour_Speed)</f>
        <v>0</v>
      </c>
      <c r="W66" s="15">
        <f>IF(OR('User interface'!$C34=Lists!$E$10,W$52&lt;'User interface'!$C$28),Calculations!W22,W55/Detour_Speed)</f>
        <v>0</v>
      </c>
      <c r="X66" s="15">
        <f>IF(OR('User interface'!$C34=Lists!$E$10,X$52&lt;'User interface'!$C$28),Calculations!X22,X55/Detour_Speed)</f>
        <v>0</v>
      </c>
      <c r="Y66" s="15">
        <f>IF(OR('User interface'!$C34=Lists!$E$10,Y$52&lt;'User interface'!$C$28),Calculations!Y22,Y55/Detour_Speed)</f>
        <v>0</v>
      </c>
      <c r="Z66" s="15">
        <f>IF(OR('User interface'!$C34=Lists!$E$10,Z$52&lt;'User interface'!$C$28),Calculations!Z22,Z55/Detour_Speed)</f>
        <v>0</v>
      </c>
      <c r="AA66" s="15">
        <f>IF(OR('User interface'!$C34=Lists!$E$10,AA$52&lt;'User interface'!$C$28),Calculations!AA22,AA55/Detour_Speed)</f>
        <v>0</v>
      </c>
      <c r="AB66" s="15">
        <f>IF(OR('User interface'!$C34=Lists!$E$10,AB$52&lt;'User interface'!$C$28),Calculations!AB22,AB55/Detour_Speed)</f>
        <v>0</v>
      </c>
      <c r="AC66" s="15">
        <f>IF(OR('User interface'!$C34=Lists!$E$10,AC$52&lt;'User interface'!$C$28),Calculations!AC22,AC55/Detour_Speed)</f>
        <v>0</v>
      </c>
      <c r="AD66" s="15">
        <f>IF(OR('User interface'!$C34=Lists!$E$10,AD$52&lt;'User interface'!$C$28),Calculations!AD22,AD55/Detour_Speed)</f>
        <v>0</v>
      </c>
      <c r="AE66" s="15">
        <f>IF(OR('User interface'!$C34=Lists!$E$10,AE$52&lt;'User interface'!$C$28),Calculations!AE22,AE55/Detour_Speed)</f>
        <v>0</v>
      </c>
      <c r="AF66" s="15">
        <f>IF(OR('User interface'!$C34=Lists!$E$10,AF$52&lt;'User interface'!$C$28),Calculations!AF22,AF55/Detour_Speed)</f>
        <v>0</v>
      </c>
    </row>
    <row r="67" spans="2:32" x14ac:dyDescent="0.2">
      <c r="B67" s="3" t="s">
        <v>40</v>
      </c>
      <c r="C67" s="15">
        <f>IF(OR('User interface'!$C35=Lists!$E$10,C$52&lt;'User interface'!$C$28),Calculations!C23,C56/Detour_Speed)</f>
        <v>0</v>
      </c>
      <c r="D67" s="15">
        <f>IF(OR('User interface'!$C35=Lists!$E$10,D$52&lt;'User interface'!$C$28),Calculations!D23,D56/Detour_Speed)</f>
        <v>0</v>
      </c>
      <c r="E67" s="15">
        <f>IF(OR('User interface'!$C35=Lists!$E$10,E$52&lt;'User interface'!$C$28),Calculations!E23,E56/Detour_Speed)</f>
        <v>0</v>
      </c>
      <c r="F67" s="15">
        <f>IF(OR('User interface'!$C35=Lists!$E$10,F$52&lt;'User interface'!$C$28),Calculations!F23,F56/Detour_Speed)</f>
        <v>0</v>
      </c>
      <c r="G67" s="15">
        <f>IF(OR('User interface'!$C35=Lists!$E$10,G$52&lt;'User interface'!$C$28),Calculations!G23,G56/Detour_Speed)</f>
        <v>0</v>
      </c>
      <c r="H67" s="15">
        <f>IF(OR('User interface'!$C35=Lists!$E$10,H$52&lt;'User interface'!$C$28),Calculations!H23,H56/Detour_Speed)</f>
        <v>0</v>
      </c>
      <c r="I67" s="15">
        <f>IF(OR('User interface'!$C35=Lists!$E$10,I$52&lt;'User interface'!$C$28),Calculations!I23,I56/Detour_Speed)</f>
        <v>0</v>
      </c>
      <c r="J67" s="15">
        <f>IF(OR('User interface'!$C35=Lists!$E$10,J$52&lt;'User interface'!$C$28),Calculations!J23,J56/Detour_Speed)</f>
        <v>0</v>
      </c>
      <c r="K67" s="15">
        <f>IF(OR('User interface'!$C35=Lists!$E$10,K$52&lt;'User interface'!$C$28),Calculations!K23,K56/Detour_Speed)</f>
        <v>0</v>
      </c>
      <c r="L67" s="15">
        <f>IF(OR('User interface'!$C35=Lists!$E$10,L$52&lt;'User interface'!$C$28),Calculations!L23,L56/Detour_Speed)</f>
        <v>0</v>
      </c>
      <c r="M67" s="15">
        <f>IF(OR('User interface'!$C35=Lists!$E$10,M$52&lt;'User interface'!$C$28),Calculations!M23,M56/Detour_Speed)</f>
        <v>0</v>
      </c>
      <c r="N67" s="15">
        <f>IF(OR('User interface'!$C35=Lists!$E$10,N$52&lt;'User interface'!$C$28),Calculations!N23,N56/Detour_Speed)</f>
        <v>0</v>
      </c>
      <c r="O67" s="15">
        <f>IF(OR('User interface'!$C35=Lists!$E$10,O$52&lt;'User interface'!$C$28),Calculations!O23,O56/Detour_Speed)</f>
        <v>0</v>
      </c>
      <c r="P67" s="15">
        <f>IF(OR('User interface'!$C35=Lists!$E$10,P$52&lt;'User interface'!$C$28),Calculations!P23,P56/Detour_Speed)</f>
        <v>0</v>
      </c>
      <c r="Q67" s="15">
        <f>IF(OR('User interface'!$C35=Lists!$E$10,Q$52&lt;'User interface'!$C$28),Calculations!Q23,Q56/Detour_Speed)</f>
        <v>0</v>
      </c>
      <c r="R67" s="15">
        <f>IF(OR('User interface'!$C35=Lists!$E$10,R$52&lt;'User interface'!$C$28),Calculations!R23,R56/Detour_Speed)</f>
        <v>0</v>
      </c>
      <c r="S67" s="15">
        <f>IF(OR('User interface'!$C35=Lists!$E$10,S$52&lt;'User interface'!$C$28),Calculations!S23,S56/Detour_Speed)</f>
        <v>0</v>
      </c>
      <c r="T67" s="15">
        <f>IF(OR('User interface'!$C35=Lists!$E$10,T$52&lt;'User interface'!$C$28),Calculations!T23,T56/Detour_Speed)</f>
        <v>0</v>
      </c>
      <c r="U67" s="15">
        <f>IF(OR('User interface'!$C35=Lists!$E$10,U$52&lt;'User interface'!$C$28),Calculations!U23,U56/Detour_Speed)</f>
        <v>0</v>
      </c>
      <c r="V67" s="15">
        <f>IF(OR('User interface'!$C35=Lists!$E$10,V$52&lt;'User interface'!$C$28),Calculations!V23,V56/Detour_Speed)</f>
        <v>0</v>
      </c>
      <c r="W67" s="15">
        <f>IF(OR('User interface'!$C35=Lists!$E$10,W$52&lt;'User interface'!$C$28),Calculations!W23,W56/Detour_Speed)</f>
        <v>0</v>
      </c>
      <c r="X67" s="15">
        <f>IF(OR('User interface'!$C35=Lists!$E$10,X$52&lt;'User interface'!$C$28),Calculations!X23,X56/Detour_Speed)</f>
        <v>0</v>
      </c>
      <c r="Y67" s="15">
        <f>IF(OR('User interface'!$C35=Lists!$E$10,Y$52&lt;'User interface'!$C$28),Calculations!Y23,Y56/Detour_Speed)</f>
        <v>0</v>
      </c>
      <c r="Z67" s="15">
        <f>IF(OR('User interface'!$C35=Lists!$E$10,Z$52&lt;'User interface'!$C$28),Calculations!Z23,Z56/Detour_Speed)</f>
        <v>0</v>
      </c>
      <c r="AA67" s="15">
        <f>IF(OR('User interface'!$C35=Lists!$E$10,AA$52&lt;'User interface'!$C$28),Calculations!AA23,AA56/Detour_Speed)</f>
        <v>0</v>
      </c>
      <c r="AB67" s="15">
        <f>IF(OR('User interface'!$C35=Lists!$E$10,AB$52&lt;'User interface'!$C$28),Calculations!AB23,AB56/Detour_Speed)</f>
        <v>0</v>
      </c>
      <c r="AC67" s="15">
        <f>IF(OR('User interface'!$C35=Lists!$E$10,AC$52&lt;'User interface'!$C$28),Calculations!AC23,AC56/Detour_Speed)</f>
        <v>0</v>
      </c>
      <c r="AD67" s="15">
        <f>IF(OR('User interface'!$C35=Lists!$E$10,AD$52&lt;'User interface'!$C$28),Calculations!AD23,AD56/Detour_Speed)</f>
        <v>0</v>
      </c>
      <c r="AE67" s="15">
        <f>IF(OR('User interface'!$C35=Lists!$E$10,AE$52&lt;'User interface'!$C$28),Calculations!AE23,AE56/Detour_Speed)</f>
        <v>0</v>
      </c>
      <c r="AF67" s="15">
        <f>IF(OR('User interface'!$C35=Lists!$E$10,AF$52&lt;'User interface'!$C$28),Calculations!AF23,AF56/Detour_Speed)</f>
        <v>0</v>
      </c>
    </row>
    <row r="68" spans="2:32" x14ac:dyDescent="0.2">
      <c r="B68" s="3" t="s">
        <v>41</v>
      </c>
      <c r="C68" s="15">
        <f>IF(OR('User interface'!$C36=Lists!$E$10,C$52&lt;'User interface'!$C$28),Calculations!C24,C57/Detour_Speed)</f>
        <v>0</v>
      </c>
      <c r="D68" s="15">
        <f>IF(OR('User interface'!$C36=Lists!$E$10,D$52&lt;'User interface'!$C$28),Calculations!D24,D57/Detour_Speed)</f>
        <v>0</v>
      </c>
      <c r="E68" s="15">
        <f>IF(OR('User interface'!$C36=Lists!$E$10,E$52&lt;'User interface'!$C$28),Calculations!E24,E57/Detour_Speed)</f>
        <v>0</v>
      </c>
      <c r="F68" s="15">
        <f>IF(OR('User interface'!$C36=Lists!$E$10,F$52&lt;'User interface'!$C$28),Calculations!F24,F57/Detour_Speed)</f>
        <v>0</v>
      </c>
      <c r="G68" s="15">
        <f>IF(OR('User interface'!$C36=Lists!$E$10,G$52&lt;'User interface'!$C$28),Calculations!G24,G57/Detour_Speed)</f>
        <v>0</v>
      </c>
      <c r="H68" s="15">
        <f>IF(OR('User interface'!$C36=Lists!$E$10,H$52&lt;'User interface'!$C$28),Calculations!H24,H57/Detour_Speed)</f>
        <v>0</v>
      </c>
      <c r="I68" s="15">
        <f>IF(OR('User interface'!$C36=Lists!$E$10,I$52&lt;'User interface'!$C$28),Calculations!I24,I57/Detour_Speed)</f>
        <v>0</v>
      </c>
      <c r="J68" s="15">
        <f>IF(OR('User interface'!$C36=Lists!$E$10,J$52&lt;'User interface'!$C$28),Calculations!J24,J57/Detour_Speed)</f>
        <v>0</v>
      </c>
      <c r="K68" s="15">
        <f>IF(OR('User interface'!$C36=Lists!$E$10,K$52&lt;'User interface'!$C$28),Calculations!K24,K57/Detour_Speed)</f>
        <v>0</v>
      </c>
      <c r="L68" s="15">
        <f>IF(OR('User interface'!$C36=Lists!$E$10,L$52&lt;'User interface'!$C$28),Calculations!L24,L57/Detour_Speed)</f>
        <v>0</v>
      </c>
      <c r="M68" s="15">
        <f>IF(OR('User interface'!$C36=Lists!$E$10,M$52&lt;'User interface'!$C$28),Calculations!M24,M57/Detour_Speed)</f>
        <v>0</v>
      </c>
      <c r="N68" s="15">
        <f>IF(OR('User interface'!$C36=Lists!$E$10,N$52&lt;'User interface'!$C$28),Calculations!N24,N57/Detour_Speed)</f>
        <v>0</v>
      </c>
      <c r="O68" s="15">
        <f>IF(OR('User interface'!$C36=Lists!$E$10,O$52&lt;'User interface'!$C$28),Calculations!O24,O57/Detour_Speed)</f>
        <v>0</v>
      </c>
      <c r="P68" s="15">
        <f>IF(OR('User interface'!$C36=Lists!$E$10,P$52&lt;'User interface'!$C$28),Calculations!P24,P57/Detour_Speed)</f>
        <v>0</v>
      </c>
      <c r="Q68" s="15">
        <f>IF(OR('User interface'!$C36=Lists!$E$10,Q$52&lt;'User interface'!$C$28),Calculations!Q24,Q57/Detour_Speed)</f>
        <v>0</v>
      </c>
      <c r="R68" s="15">
        <f>IF(OR('User interface'!$C36=Lists!$E$10,R$52&lt;'User interface'!$C$28),Calculations!R24,R57/Detour_Speed)</f>
        <v>0</v>
      </c>
      <c r="S68" s="15">
        <f>IF(OR('User interface'!$C36=Lists!$E$10,S$52&lt;'User interface'!$C$28),Calculations!S24,S57/Detour_Speed)</f>
        <v>0</v>
      </c>
      <c r="T68" s="15">
        <f>IF(OR('User interface'!$C36=Lists!$E$10,T$52&lt;'User interface'!$C$28),Calculations!T24,T57/Detour_Speed)</f>
        <v>0</v>
      </c>
      <c r="U68" s="15">
        <f>IF(OR('User interface'!$C36=Lists!$E$10,U$52&lt;'User interface'!$C$28),Calculations!U24,U57/Detour_Speed)</f>
        <v>0</v>
      </c>
      <c r="V68" s="15">
        <f>IF(OR('User interface'!$C36=Lists!$E$10,V$52&lt;'User interface'!$C$28),Calculations!V24,V57/Detour_Speed)</f>
        <v>0</v>
      </c>
      <c r="W68" s="15">
        <f>IF(OR('User interface'!$C36=Lists!$E$10,W$52&lt;'User interface'!$C$28),Calculations!W24,W57/Detour_Speed)</f>
        <v>0</v>
      </c>
      <c r="X68" s="15">
        <f>IF(OR('User interface'!$C36=Lists!$E$10,X$52&lt;'User interface'!$C$28),Calculations!X24,X57/Detour_Speed)</f>
        <v>0</v>
      </c>
      <c r="Y68" s="15">
        <f>IF(OR('User interface'!$C36=Lists!$E$10,Y$52&lt;'User interface'!$C$28),Calculations!Y24,Y57/Detour_Speed)</f>
        <v>0</v>
      </c>
      <c r="Z68" s="15">
        <f>IF(OR('User interface'!$C36=Lists!$E$10,Z$52&lt;'User interface'!$C$28),Calculations!Z24,Z57/Detour_Speed)</f>
        <v>0</v>
      </c>
      <c r="AA68" s="15">
        <f>IF(OR('User interface'!$C36=Lists!$E$10,AA$52&lt;'User interface'!$C$28),Calculations!AA24,AA57/Detour_Speed)</f>
        <v>0</v>
      </c>
      <c r="AB68" s="15">
        <f>IF(OR('User interface'!$C36=Lists!$E$10,AB$52&lt;'User interface'!$C$28),Calculations!AB24,AB57/Detour_Speed)</f>
        <v>0</v>
      </c>
      <c r="AC68" s="15">
        <f>IF(OR('User interface'!$C36=Lists!$E$10,AC$52&lt;'User interface'!$C$28),Calculations!AC24,AC57/Detour_Speed)</f>
        <v>0</v>
      </c>
      <c r="AD68" s="15">
        <f>IF(OR('User interface'!$C36=Lists!$E$10,AD$52&lt;'User interface'!$C$28),Calculations!AD24,AD57/Detour_Speed)</f>
        <v>0</v>
      </c>
      <c r="AE68" s="15">
        <f>IF(OR('User interface'!$C36=Lists!$E$10,AE$52&lt;'User interface'!$C$28),Calculations!AE24,AE57/Detour_Speed)</f>
        <v>0</v>
      </c>
      <c r="AF68" s="15">
        <f>IF(OR('User interface'!$C36=Lists!$E$10,AF$52&lt;'User interface'!$C$28),Calculations!AF24,AF57/Detour_Speed)</f>
        <v>0</v>
      </c>
    </row>
    <row r="69" spans="2:32" x14ac:dyDescent="0.2">
      <c r="B69" s="3" t="s">
        <v>84</v>
      </c>
      <c r="C69" s="15">
        <f>IF(OR('User interface'!$C37=Lists!$E$10,C$52&lt;'User interface'!$C$28),Calculations!C25,C58/Detour_Speed)</f>
        <v>0</v>
      </c>
      <c r="D69" s="15">
        <f>IF(OR('User interface'!$C37=Lists!$E$10,D$52&lt;'User interface'!$C$28),Calculations!D25,D58/Detour_Speed)</f>
        <v>0</v>
      </c>
      <c r="E69" s="15">
        <f>IF(OR('User interface'!$C37=Lists!$E$10,E$52&lt;'User interface'!$C$28),Calculations!E25,E58/Detour_Speed)</f>
        <v>0</v>
      </c>
      <c r="F69" s="15">
        <f>IF(OR('User interface'!$C37=Lists!$E$10,F$52&lt;'User interface'!$C$28),Calculations!F25,F58/Detour_Speed)</f>
        <v>0</v>
      </c>
      <c r="G69" s="15">
        <f>IF(OR('User interface'!$C37=Lists!$E$10,G$52&lt;'User interface'!$C$28),Calculations!G25,G58/Detour_Speed)</f>
        <v>0</v>
      </c>
      <c r="H69" s="15">
        <f>IF(OR('User interface'!$C37=Lists!$E$10,H$52&lt;'User interface'!$C$28),Calculations!H25,H58/Detour_Speed)</f>
        <v>0</v>
      </c>
      <c r="I69" s="15">
        <f>IF(OR('User interface'!$C37=Lists!$E$10,I$52&lt;'User interface'!$C$28),Calculations!I25,I58/Detour_Speed)</f>
        <v>0</v>
      </c>
      <c r="J69" s="15">
        <f>IF(OR('User interface'!$C37=Lists!$E$10,J$52&lt;'User interface'!$C$28),Calculations!J25,J58/Detour_Speed)</f>
        <v>0</v>
      </c>
      <c r="K69" s="15">
        <f>IF(OR('User interface'!$C37=Lists!$E$10,K$52&lt;'User interface'!$C$28),Calculations!K25,K58/Detour_Speed)</f>
        <v>0</v>
      </c>
      <c r="L69" s="15">
        <f>IF(OR('User interface'!$C37=Lists!$E$10,L$52&lt;'User interface'!$C$28),Calculations!L25,L58/Detour_Speed)</f>
        <v>0</v>
      </c>
      <c r="M69" s="15">
        <f>IF(OR('User interface'!$C37=Lists!$E$10,M$52&lt;'User interface'!$C$28),Calculations!M25,M58/Detour_Speed)</f>
        <v>0</v>
      </c>
      <c r="N69" s="15">
        <f>IF(OR('User interface'!$C37=Lists!$E$10,N$52&lt;'User interface'!$C$28),Calculations!N25,N58/Detour_Speed)</f>
        <v>0</v>
      </c>
      <c r="O69" s="15">
        <f>IF(OR('User interface'!$C37=Lists!$E$10,O$52&lt;'User interface'!$C$28),Calculations!O25,O58/Detour_Speed)</f>
        <v>0</v>
      </c>
      <c r="P69" s="15">
        <f>IF(OR('User interface'!$C37=Lists!$E$10,P$52&lt;'User interface'!$C$28),Calculations!P25,P58/Detour_Speed)</f>
        <v>0</v>
      </c>
      <c r="Q69" s="15">
        <f>IF(OR('User interface'!$C37=Lists!$E$10,Q$52&lt;'User interface'!$C$28),Calculations!Q25,Q58/Detour_Speed)</f>
        <v>0</v>
      </c>
      <c r="R69" s="15">
        <f>IF(OR('User interface'!$C37=Lists!$E$10,R$52&lt;'User interface'!$C$28),Calculations!R25,R58/Detour_Speed)</f>
        <v>0</v>
      </c>
      <c r="S69" s="15">
        <f>IF(OR('User interface'!$C37=Lists!$E$10,S$52&lt;'User interface'!$C$28),Calculations!S25,S58/Detour_Speed)</f>
        <v>0</v>
      </c>
      <c r="T69" s="15">
        <f>IF(OR('User interface'!$C37=Lists!$E$10,T$52&lt;'User interface'!$C$28),Calculations!T25,T58/Detour_Speed)</f>
        <v>0</v>
      </c>
      <c r="U69" s="15">
        <f>IF(OR('User interface'!$C37=Lists!$E$10,U$52&lt;'User interface'!$C$28),Calculations!U25,U58/Detour_Speed)</f>
        <v>0</v>
      </c>
      <c r="V69" s="15">
        <f>IF(OR('User interface'!$C37=Lists!$E$10,V$52&lt;'User interface'!$C$28),Calculations!V25,V58/Detour_Speed)</f>
        <v>0</v>
      </c>
      <c r="W69" s="15">
        <f>IF(OR('User interface'!$C37=Lists!$E$10,W$52&lt;'User interface'!$C$28),Calculations!W25,W58/Detour_Speed)</f>
        <v>0</v>
      </c>
      <c r="X69" s="15">
        <f>IF(OR('User interface'!$C37=Lists!$E$10,X$52&lt;'User interface'!$C$28),Calculations!X25,X58/Detour_Speed)</f>
        <v>0</v>
      </c>
      <c r="Y69" s="15">
        <f>IF(OR('User interface'!$C37=Lists!$E$10,Y$52&lt;'User interface'!$C$28),Calculations!Y25,Y58/Detour_Speed)</f>
        <v>0</v>
      </c>
      <c r="Z69" s="15">
        <f>IF(OR('User interface'!$C37=Lists!$E$10,Z$52&lt;'User interface'!$C$28),Calculations!Z25,Z58/Detour_Speed)</f>
        <v>0</v>
      </c>
      <c r="AA69" s="15">
        <f>IF(OR('User interface'!$C37=Lists!$E$10,AA$52&lt;'User interface'!$C$28),Calculations!AA25,AA58/Detour_Speed)</f>
        <v>0</v>
      </c>
      <c r="AB69" s="15">
        <f>IF(OR('User interface'!$C37=Lists!$E$10,AB$52&lt;'User interface'!$C$28),Calculations!AB25,AB58/Detour_Speed)</f>
        <v>0</v>
      </c>
      <c r="AC69" s="15">
        <f>IF(OR('User interface'!$C37=Lists!$E$10,AC$52&lt;'User interface'!$C$28),Calculations!AC25,AC58/Detour_Speed)</f>
        <v>0</v>
      </c>
      <c r="AD69" s="15">
        <f>IF(OR('User interface'!$C37=Lists!$E$10,AD$52&lt;'User interface'!$C$28),Calculations!AD25,AD58/Detour_Speed)</f>
        <v>0</v>
      </c>
      <c r="AE69" s="15">
        <f>IF(OR('User interface'!$C37=Lists!$E$10,AE$52&lt;'User interface'!$C$28),Calculations!AE25,AE58/Detour_Speed)</f>
        <v>0</v>
      </c>
      <c r="AF69" s="15">
        <f>IF(OR('User interface'!$C37=Lists!$E$10,AF$52&lt;'User interface'!$C$28),Calculations!AF25,AF58/Detour_Speed)</f>
        <v>0</v>
      </c>
    </row>
    <row r="70" spans="2:32" x14ac:dyDescent="0.2">
      <c r="B70" s="3" t="s">
        <v>38</v>
      </c>
      <c r="C70" s="22">
        <f>SUM(C64:C69)</f>
        <v>0</v>
      </c>
      <c r="D70" s="23">
        <f t="shared" ref="D70:AF70" si="63">SUM(D64:D69)</f>
        <v>0</v>
      </c>
      <c r="E70" s="23">
        <f t="shared" si="63"/>
        <v>0</v>
      </c>
      <c r="F70" s="23">
        <f t="shared" si="63"/>
        <v>0</v>
      </c>
      <c r="G70" s="23">
        <f t="shared" si="63"/>
        <v>0</v>
      </c>
      <c r="H70" s="23">
        <f t="shared" si="63"/>
        <v>0</v>
      </c>
      <c r="I70" s="23">
        <f t="shared" si="63"/>
        <v>0</v>
      </c>
      <c r="J70" s="23">
        <f t="shared" si="63"/>
        <v>0</v>
      </c>
      <c r="K70" s="23">
        <f t="shared" si="63"/>
        <v>0</v>
      </c>
      <c r="L70" s="23">
        <f t="shared" si="63"/>
        <v>0</v>
      </c>
      <c r="M70" s="23">
        <f t="shared" si="63"/>
        <v>0</v>
      </c>
      <c r="N70" s="23">
        <f t="shared" si="63"/>
        <v>0</v>
      </c>
      <c r="O70" s="23">
        <f t="shared" si="63"/>
        <v>0</v>
      </c>
      <c r="P70" s="23">
        <f t="shared" si="63"/>
        <v>0</v>
      </c>
      <c r="Q70" s="23">
        <f t="shared" si="63"/>
        <v>0</v>
      </c>
      <c r="R70" s="23">
        <f t="shared" si="63"/>
        <v>0</v>
      </c>
      <c r="S70" s="23">
        <f t="shared" si="63"/>
        <v>0</v>
      </c>
      <c r="T70" s="23">
        <f t="shared" si="63"/>
        <v>0</v>
      </c>
      <c r="U70" s="23">
        <f t="shared" si="63"/>
        <v>0</v>
      </c>
      <c r="V70" s="23">
        <f t="shared" si="63"/>
        <v>0</v>
      </c>
      <c r="W70" s="23">
        <f t="shared" si="63"/>
        <v>0</v>
      </c>
      <c r="X70" s="23">
        <f t="shared" si="63"/>
        <v>0</v>
      </c>
      <c r="Y70" s="23">
        <f t="shared" si="63"/>
        <v>0</v>
      </c>
      <c r="Z70" s="23">
        <f t="shared" si="63"/>
        <v>0</v>
      </c>
      <c r="AA70" s="23">
        <f t="shared" si="63"/>
        <v>0</v>
      </c>
      <c r="AB70" s="23">
        <f t="shared" si="63"/>
        <v>0</v>
      </c>
      <c r="AC70" s="23">
        <f t="shared" si="63"/>
        <v>0</v>
      </c>
      <c r="AD70" s="23">
        <f t="shared" si="63"/>
        <v>0</v>
      </c>
      <c r="AE70" s="23">
        <f t="shared" si="63"/>
        <v>0</v>
      </c>
      <c r="AF70" s="90">
        <f t="shared" si="63"/>
        <v>0</v>
      </c>
    </row>
    <row r="71" spans="2:32" ht="14.25" x14ac:dyDescent="0.2">
      <c r="E71" s="1"/>
      <c r="F71" s="1"/>
      <c r="G71" s="1"/>
      <c r="H71" s="1"/>
      <c r="I71" s="1"/>
      <c r="J71" s="1"/>
      <c r="K71" s="1"/>
      <c r="L71" s="1"/>
      <c r="M71" s="1"/>
      <c r="N71" s="1"/>
      <c r="O71" s="1"/>
      <c r="P71" s="1"/>
      <c r="Q71" s="1"/>
      <c r="R71" s="1"/>
      <c r="S71" s="1"/>
      <c r="T71" s="1"/>
      <c r="U71" s="1"/>
      <c r="V71" s="1"/>
      <c r="W71" s="1"/>
      <c r="X71" s="1"/>
      <c r="Y71" s="1"/>
      <c r="Z71" s="1"/>
      <c r="AA71" s="1"/>
    </row>
    <row r="72" spans="2:32" ht="15.75" x14ac:dyDescent="0.25">
      <c r="B72" s="17" t="s">
        <v>256</v>
      </c>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row>
    <row r="73" spans="2:32" x14ac:dyDescent="0.2">
      <c r="AB73"/>
      <c r="AC73"/>
      <c r="AD73"/>
      <c r="AE73"/>
      <c r="AF73"/>
    </row>
    <row r="74" spans="2:32" ht="15.75" x14ac:dyDescent="0.25">
      <c r="B74" s="11" t="s">
        <v>255</v>
      </c>
      <c r="C74" s="11" t="s">
        <v>83</v>
      </c>
      <c r="D74" s="11" t="s">
        <v>73</v>
      </c>
      <c r="E74" s="11" t="s">
        <v>183</v>
      </c>
      <c r="F74" s="1"/>
      <c r="G74" s="11" t="s">
        <v>260</v>
      </c>
      <c r="H74" s="11" t="s">
        <v>182</v>
      </c>
      <c r="AB74"/>
      <c r="AC74"/>
      <c r="AD74"/>
      <c r="AE74"/>
      <c r="AF74"/>
    </row>
    <row r="75" spans="2:32" x14ac:dyDescent="0.2">
      <c r="B75" s="3" t="s">
        <v>37</v>
      </c>
      <c r="C75" s="93">
        <f>SUMIFS('VOC Summary'!$H9:$J9,'VOC Summary'!$H$8:$J$8,'User interface'!$D$42)/100</f>
        <v>0</v>
      </c>
      <c r="D75" s="93">
        <f>Safety!G125</f>
        <v>0.13585789733536591</v>
      </c>
      <c r="E75" s="93">
        <f>SUMIFS('Vehicle mix and value of time'!$C50:$D50,'Vehicle mix and value of time'!$C$26:$D$26,Region)</f>
        <v>0</v>
      </c>
      <c r="G75" s="3" t="s">
        <v>37</v>
      </c>
      <c r="H75" s="93">
        <f>SUMIFS('Vehicle mix and value of time'!$C27:$D27,'Vehicle mix and value of time'!$C$26:$D$26,Region)</f>
        <v>0</v>
      </c>
      <c r="AB75"/>
      <c r="AC75"/>
      <c r="AD75"/>
      <c r="AE75"/>
      <c r="AF75"/>
    </row>
    <row r="76" spans="2:32" x14ac:dyDescent="0.2">
      <c r="B76" s="3" t="s">
        <v>122</v>
      </c>
      <c r="C76" s="94">
        <f>SUMIFS('VOC Summary'!$H10:$J10,'VOC Summary'!$H$8:$J$8,'User interface'!$D$42)/100</f>
        <v>0</v>
      </c>
      <c r="D76" s="94">
        <f>Safety!G126</f>
        <v>0.14238153934640216</v>
      </c>
      <c r="E76" s="94">
        <f>SUMIFS('Vehicle mix and value of time'!$C51:$D51,'Vehicle mix and value of time'!$C$26:$D$26,Region)</f>
        <v>0</v>
      </c>
      <c r="G76" s="3" t="s">
        <v>122</v>
      </c>
      <c r="H76" s="94">
        <f>SUMIFS('Vehicle mix and value of time'!$C28:$D28,'Vehicle mix and value of time'!$C$26:$D$26,Region)</f>
        <v>0</v>
      </c>
      <c r="AB76"/>
      <c r="AC76"/>
      <c r="AD76"/>
      <c r="AE76"/>
      <c r="AF76"/>
    </row>
    <row r="77" spans="2:32" x14ac:dyDescent="0.2">
      <c r="B77" s="3" t="s">
        <v>123</v>
      </c>
      <c r="C77" s="94">
        <f>SUMIFS('VOC Summary'!$H11:$J11,'VOC Summary'!$H$8:$J$8,'User interface'!$D$42)/100</f>
        <v>0</v>
      </c>
      <c r="D77" s="94">
        <f>Safety!G127</f>
        <v>0.14238153934640216</v>
      </c>
      <c r="E77" s="94">
        <f>SUMIFS('Vehicle mix and value of time'!$C52:$D52,'Vehicle mix and value of time'!$C$26:$D$26,Region)</f>
        <v>0</v>
      </c>
      <c r="G77" s="3" t="s">
        <v>123</v>
      </c>
      <c r="H77" s="94">
        <f>SUMIFS('Vehicle mix and value of time'!$C29:$D29,'Vehicle mix and value of time'!$C$26:$D$26,Region)</f>
        <v>0</v>
      </c>
      <c r="AB77"/>
      <c r="AC77"/>
      <c r="AD77"/>
      <c r="AE77"/>
      <c r="AF77"/>
    </row>
    <row r="78" spans="2:32" x14ac:dyDescent="0.2">
      <c r="B78" s="3" t="s">
        <v>40</v>
      </c>
      <c r="C78" s="94">
        <f>SUMIFS('VOC Summary'!$H12:$J12,'VOC Summary'!$H$8:$J$8,'User interface'!$D$42)/100</f>
        <v>0</v>
      </c>
      <c r="D78" s="94">
        <f>Safety!G128</f>
        <v>0.12990361334396916</v>
      </c>
      <c r="E78" s="94">
        <f>SUMIFS('Vehicle mix and value of time'!$C53:$D53,'Vehicle mix and value of time'!$C$26:$D$26,Region)</f>
        <v>0</v>
      </c>
      <c r="G78" s="3" t="s">
        <v>40</v>
      </c>
      <c r="H78" s="94">
        <f>SUMIFS('Vehicle mix and value of time'!$C30:$D30,'Vehicle mix and value of time'!$C$26:$D$26,Region)</f>
        <v>0</v>
      </c>
      <c r="AB78"/>
      <c r="AC78"/>
      <c r="AD78"/>
      <c r="AE78"/>
      <c r="AF78"/>
    </row>
    <row r="79" spans="2:32" x14ac:dyDescent="0.2">
      <c r="B79" s="3" t="s">
        <v>41</v>
      </c>
      <c r="C79" s="94">
        <f>SUMIFS('VOC Summary'!$H13:$J13,'VOC Summary'!$H$8:$J$8,'User interface'!$D$42)/100</f>
        <v>0</v>
      </c>
      <c r="D79" s="94">
        <f>Safety!G129</f>
        <v>0.17209259227234516</v>
      </c>
      <c r="E79" s="94">
        <f>SUMIFS('Vehicle mix and value of time'!$C54:$D54,'Vehicle mix and value of time'!$C$26:$D$26,Region)</f>
        <v>0</v>
      </c>
      <c r="G79" s="3" t="s">
        <v>41</v>
      </c>
      <c r="H79" s="94">
        <f>SUMIFS('Vehicle mix and value of time'!$C31:$D31,'Vehicle mix and value of time'!$C$26:$D$26,Region)</f>
        <v>0</v>
      </c>
      <c r="AB79"/>
      <c r="AC79"/>
      <c r="AD79"/>
      <c r="AE79"/>
      <c r="AF79"/>
    </row>
    <row r="80" spans="2:32" x14ac:dyDescent="0.2">
      <c r="B80" s="3" t="s">
        <v>84</v>
      </c>
      <c r="C80" s="95">
        <f>SUMIFS('VOC Summary'!$H14:$J14,'VOC Summary'!$H$8:$J$8,'User interface'!$D$42)/100</f>
        <v>0</v>
      </c>
      <c r="D80" s="95">
        <f>Safety!G130</f>
        <v>0.17209259227234516</v>
      </c>
      <c r="E80" s="95">
        <f>SUMIFS('Vehicle mix and value of time'!$C55:$D55,'Vehicle mix and value of time'!$C$26:$D$26,Region)</f>
        <v>0</v>
      </c>
      <c r="G80" s="3" t="s">
        <v>84</v>
      </c>
      <c r="H80" s="95">
        <f>SUMIFS('Vehicle mix and value of time'!$C32:$D32,'Vehicle mix and value of time'!$C$26:$D$26,Region)</f>
        <v>0</v>
      </c>
      <c r="AB80"/>
      <c r="AC80"/>
      <c r="AD80"/>
      <c r="AE80"/>
      <c r="AF80"/>
    </row>
    <row r="81" spans="2:32" x14ac:dyDescent="0.2">
      <c r="B81" s="3" t="s">
        <v>257</v>
      </c>
      <c r="C81" s="85">
        <f>SUMPRODUCT(C75:C80,'Vehicle mix and value of time'!$E$9:$E$14)</f>
        <v>0</v>
      </c>
      <c r="D81" s="85">
        <f>SUMPRODUCT(D75:D80,'Vehicle mix and value of time'!$E$9:$E$14)</f>
        <v>0.13862971789767162</v>
      </c>
      <c r="E81" s="85">
        <f>SUMPRODUCT(E75:E80,'Vehicle mix and value of time'!$E$9:$E$14)</f>
        <v>0</v>
      </c>
      <c r="G81" s="3" t="s">
        <v>257</v>
      </c>
      <c r="H81" s="85">
        <f>SUMPRODUCT(H75:H80,'Vehicle mix and value of time'!$E$9:$E$14)</f>
        <v>0</v>
      </c>
      <c r="AB81"/>
      <c r="AC81"/>
      <c r="AD81"/>
      <c r="AE81"/>
      <c r="AF81"/>
    </row>
    <row r="82" spans="2:32" x14ac:dyDescent="0.2">
      <c r="AB82"/>
      <c r="AC82"/>
      <c r="AD82"/>
      <c r="AE82"/>
      <c r="AF82"/>
    </row>
    <row r="83" spans="2:32" ht="15.75" x14ac:dyDescent="0.25">
      <c r="B83" s="17" t="s">
        <v>262</v>
      </c>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row>
    <row r="84" spans="2:32" x14ac:dyDescent="0.2">
      <c r="AB84"/>
      <c r="AC84"/>
      <c r="AD84"/>
      <c r="AE84"/>
      <c r="AF84"/>
    </row>
    <row r="85" spans="2:32" ht="15.75" x14ac:dyDescent="0.25">
      <c r="B85" s="11" t="s">
        <v>25</v>
      </c>
      <c r="C85" s="11">
        <v>2021</v>
      </c>
      <c r="D85" s="11">
        <v>2022</v>
      </c>
      <c r="E85" s="11">
        <v>2023</v>
      </c>
      <c r="F85" s="11">
        <v>2024</v>
      </c>
      <c r="G85" s="11">
        <v>2025</v>
      </c>
      <c r="H85" s="11">
        <v>2026</v>
      </c>
      <c r="I85" s="11">
        <v>2027</v>
      </c>
      <c r="J85" s="11">
        <v>2028</v>
      </c>
      <c r="K85" s="11">
        <v>2029</v>
      </c>
      <c r="L85" s="11">
        <v>2030</v>
      </c>
      <c r="M85" s="11">
        <v>2031</v>
      </c>
      <c r="N85" s="11">
        <v>2032</v>
      </c>
      <c r="O85" s="11">
        <v>2033</v>
      </c>
      <c r="P85" s="11">
        <v>2034</v>
      </c>
      <c r="Q85" s="11">
        <v>2035</v>
      </c>
      <c r="R85" s="11">
        <v>2036</v>
      </c>
      <c r="S85" s="11">
        <v>2037</v>
      </c>
      <c r="T85" s="11">
        <v>2038</v>
      </c>
      <c r="U85" s="11">
        <v>2039</v>
      </c>
      <c r="V85" s="11">
        <v>2040</v>
      </c>
      <c r="W85" s="11">
        <v>2041</v>
      </c>
      <c r="X85" s="11">
        <v>2042</v>
      </c>
      <c r="Y85" s="11">
        <v>2043</v>
      </c>
      <c r="Z85" s="11">
        <v>2044</v>
      </c>
      <c r="AA85" s="11">
        <v>2045</v>
      </c>
      <c r="AB85" s="11">
        <v>2046</v>
      </c>
      <c r="AC85" s="11">
        <v>2047</v>
      </c>
      <c r="AD85" s="11">
        <v>2048</v>
      </c>
      <c r="AE85" s="11">
        <v>2049</v>
      </c>
      <c r="AF85" s="11">
        <v>2050</v>
      </c>
    </row>
    <row r="86" spans="2:32" x14ac:dyDescent="0.2">
      <c r="B86" s="3" t="s">
        <v>182</v>
      </c>
      <c r="C86" s="22">
        <f>$H$81*C70</f>
        <v>0</v>
      </c>
      <c r="D86" s="23">
        <f t="shared" ref="D86:U86" si="64">$H$81*D70</f>
        <v>0</v>
      </c>
      <c r="E86" s="23">
        <f t="shared" si="64"/>
        <v>0</v>
      </c>
      <c r="F86" s="23">
        <f t="shared" si="64"/>
        <v>0</v>
      </c>
      <c r="G86" s="23">
        <f t="shared" si="64"/>
        <v>0</v>
      </c>
      <c r="H86" s="23">
        <f t="shared" si="64"/>
        <v>0</v>
      </c>
      <c r="I86" s="23">
        <f t="shared" si="64"/>
        <v>0</v>
      </c>
      <c r="J86" s="23">
        <f t="shared" si="64"/>
        <v>0</v>
      </c>
      <c r="K86" s="23">
        <f t="shared" si="64"/>
        <v>0</v>
      </c>
      <c r="L86" s="23">
        <f t="shared" si="64"/>
        <v>0</v>
      </c>
      <c r="M86" s="23">
        <f t="shared" si="64"/>
        <v>0</v>
      </c>
      <c r="N86" s="23">
        <f t="shared" si="64"/>
        <v>0</v>
      </c>
      <c r="O86" s="23">
        <f t="shared" si="64"/>
        <v>0</v>
      </c>
      <c r="P86" s="23">
        <f t="shared" si="64"/>
        <v>0</v>
      </c>
      <c r="Q86" s="23">
        <f t="shared" si="64"/>
        <v>0</v>
      </c>
      <c r="R86" s="23">
        <f t="shared" si="64"/>
        <v>0</v>
      </c>
      <c r="S86" s="23">
        <f t="shared" si="64"/>
        <v>0</v>
      </c>
      <c r="T86" s="23">
        <f t="shared" si="64"/>
        <v>0</v>
      </c>
      <c r="U86" s="23">
        <f t="shared" si="64"/>
        <v>0</v>
      </c>
      <c r="V86" s="23">
        <f t="shared" ref="V86:AF86" si="65">$H$81*V70</f>
        <v>0</v>
      </c>
      <c r="W86" s="23">
        <f t="shared" si="65"/>
        <v>0</v>
      </c>
      <c r="X86" s="23">
        <f t="shared" si="65"/>
        <v>0</v>
      </c>
      <c r="Y86" s="23">
        <f t="shared" si="65"/>
        <v>0</v>
      </c>
      <c r="Z86" s="23">
        <f t="shared" si="65"/>
        <v>0</v>
      </c>
      <c r="AA86" s="23">
        <f t="shared" si="65"/>
        <v>0</v>
      </c>
      <c r="AB86" s="23">
        <f t="shared" si="65"/>
        <v>0</v>
      </c>
      <c r="AC86" s="23">
        <f t="shared" si="65"/>
        <v>0</v>
      </c>
      <c r="AD86" s="23">
        <f t="shared" si="65"/>
        <v>0</v>
      </c>
      <c r="AE86" s="23">
        <f t="shared" si="65"/>
        <v>0</v>
      </c>
      <c r="AF86" s="23">
        <f t="shared" si="65"/>
        <v>0</v>
      </c>
    </row>
    <row r="87" spans="2:32" x14ac:dyDescent="0.2">
      <c r="B87" s="3" t="s">
        <v>83</v>
      </c>
      <c r="C87" s="19">
        <f>SUMIFS($C$81:$E$81,$C$74:$E$74,$B87)*C$59</f>
        <v>0</v>
      </c>
      <c r="D87" s="20">
        <f t="shared" ref="D87:S89" si="66">SUMIFS($C$81:$E$81,$C$74:$E$74,$B87)*D$59</f>
        <v>0</v>
      </c>
      <c r="E87" s="20">
        <f t="shared" si="66"/>
        <v>0</v>
      </c>
      <c r="F87" s="20">
        <f t="shared" si="66"/>
        <v>0</v>
      </c>
      <c r="G87" s="20">
        <f t="shared" si="66"/>
        <v>0</v>
      </c>
      <c r="H87" s="20">
        <f t="shared" si="66"/>
        <v>0</v>
      </c>
      <c r="I87" s="20">
        <f t="shared" si="66"/>
        <v>0</v>
      </c>
      <c r="J87" s="20">
        <f t="shared" si="66"/>
        <v>0</v>
      </c>
      <c r="K87" s="20">
        <f t="shared" si="66"/>
        <v>0</v>
      </c>
      <c r="L87" s="20">
        <f t="shared" si="66"/>
        <v>0</v>
      </c>
      <c r="M87" s="20">
        <f t="shared" si="66"/>
        <v>0</v>
      </c>
      <c r="N87" s="20">
        <f t="shared" si="66"/>
        <v>0</v>
      </c>
      <c r="O87" s="20">
        <f t="shared" si="66"/>
        <v>0</v>
      </c>
      <c r="P87" s="20">
        <f t="shared" si="66"/>
        <v>0</v>
      </c>
      <c r="Q87" s="20">
        <f t="shared" si="66"/>
        <v>0</v>
      </c>
      <c r="R87" s="20">
        <f t="shared" si="66"/>
        <v>0</v>
      </c>
      <c r="S87" s="20">
        <f t="shared" si="66"/>
        <v>0</v>
      </c>
      <c r="T87" s="20">
        <f t="shared" ref="T87:AF89" si="67">SUMIFS($C$81:$E$81,$C$74:$E$74,$B87)*T$59</f>
        <v>0</v>
      </c>
      <c r="U87" s="20">
        <f t="shared" si="67"/>
        <v>0</v>
      </c>
      <c r="V87" s="20">
        <f t="shared" si="67"/>
        <v>0</v>
      </c>
      <c r="W87" s="20">
        <f t="shared" si="67"/>
        <v>0</v>
      </c>
      <c r="X87" s="20">
        <f t="shared" si="67"/>
        <v>0</v>
      </c>
      <c r="Y87" s="20">
        <f t="shared" si="67"/>
        <v>0</v>
      </c>
      <c r="Z87" s="20">
        <f t="shared" si="67"/>
        <v>0</v>
      </c>
      <c r="AA87" s="20">
        <f t="shared" si="67"/>
        <v>0</v>
      </c>
      <c r="AB87" s="20">
        <f t="shared" si="67"/>
        <v>0</v>
      </c>
      <c r="AC87" s="20">
        <f t="shared" si="67"/>
        <v>0</v>
      </c>
      <c r="AD87" s="20">
        <f t="shared" si="67"/>
        <v>0</v>
      </c>
      <c r="AE87" s="20">
        <f t="shared" si="67"/>
        <v>0</v>
      </c>
      <c r="AF87" s="20">
        <f t="shared" si="67"/>
        <v>0</v>
      </c>
    </row>
    <row r="88" spans="2:32" x14ac:dyDescent="0.2">
      <c r="B88" s="3" t="s">
        <v>73</v>
      </c>
      <c r="C88" s="69">
        <f t="shared" ref="C88:C89" si="68">SUMIFS($C$81:$E$81,$C$74:$E$74,$B88)*C$59</f>
        <v>0</v>
      </c>
      <c r="D88" s="75">
        <f t="shared" si="66"/>
        <v>0</v>
      </c>
      <c r="E88" s="75">
        <f t="shared" si="66"/>
        <v>0</v>
      </c>
      <c r="F88" s="75">
        <f t="shared" si="66"/>
        <v>0</v>
      </c>
      <c r="G88" s="75">
        <f t="shared" si="66"/>
        <v>0</v>
      </c>
      <c r="H88" s="75">
        <f t="shared" si="66"/>
        <v>0</v>
      </c>
      <c r="I88" s="75">
        <f t="shared" si="66"/>
        <v>0</v>
      </c>
      <c r="J88" s="75">
        <f t="shared" si="66"/>
        <v>0</v>
      </c>
      <c r="K88" s="75">
        <f t="shared" si="66"/>
        <v>0</v>
      </c>
      <c r="L88" s="75">
        <f t="shared" si="66"/>
        <v>0</v>
      </c>
      <c r="M88" s="75">
        <f t="shared" si="66"/>
        <v>0</v>
      </c>
      <c r="N88" s="75">
        <f t="shared" si="66"/>
        <v>0</v>
      </c>
      <c r="O88" s="75">
        <f t="shared" si="66"/>
        <v>0</v>
      </c>
      <c r="P88" s="75">
        <f t="shared" si="66"/>
        <v>0</v>
      </c>
      <c r="Q88" s="75">
        <f t="shared" si="66"/>
        <v>0</v>
      </c>
      <c r="R88" s="75">
        <f t="shared" si="66"/>
        <v>0</v>
      </c>
      <c r="S88" s="75">
        <f t="shared" si="66"/>
        <v>0</v>
      </c>
      <c r="T88" s="75">
        <f t="shared" si="67"/>
        <v>0</v>
      </c>
      <c r="U88" s="75">
        <f t="shared" si="67"/>
        <v>0</v>
      </c>
      <c r="V88" s="75">
        <f t="shared" si="67"/>
        <v>0</v>
      </c>
      <c r="W88" s="75">
        <f t="shared" si="67"/>
        <v>0</v>
      </c>
      <c r="X88" s="75">
        <f t="shared" si="67"/>
        <v>0</v>
      </c>
      <c r="Y88" s="75">
        <f t="shared" si="67"/>
        <v>0</v>
      </c>
      <c r="Z88" s="75">
        <f t="shared" si="67"/>
        <v>0</v>
      </c>
      <c r="AA88" s="75">
        <f t="shared" si="67"/>
        <v>0</v>
      </c>
      <c r="AB88" s="75">
        <f t="shared" si="67"/>
        <v>0</v>
      </c>
      <c r="AC88" s="75">
        <f t="shared" si="67"/>
        <v>0</v>
      </c>
      <c r="AD88" s="75">
        <f t="shared" si="67"/>
        <v>0</v>
      </c>
      <c r="AE88" s="75">
        <f t="shared" si="67"/>
        <v>0</v>
      </c>
      <c r="AF88" s="75">
        <f t="shared" si="67"/>
        <v>0</v>
      </c>
    </row>
    <row r="89" spans="2:32" x14ac:dyDescent="0.2">
      <c r="B89" s="3" t="s">
        <v>183</v>
      </c>
      <c r="C89" s="70">
        <f t="shared" si="68"/>
        <v>0</v>
      </c>
      <c r="D89" s="76">
        <f t="shared" si="66"/>
        <v>0</v>
      </c>
      <c r="E89" s="76">
        <f t="shared" si="66"/>
        <v>0</v>
      </c>
      <c r="F89" s="76">
        <f t="shared" si="66"/>
        <v>0</v>
      </c>
      <c r="G89" s="76">
        <f t="shared" si="66"/>
        <v>0</v>
      </c>
      <c r="H89" s="76">
        <f t="shared" si="66"/>
        <v>0</v>
      </c>
      <c r="I89" s="76">
        <f t="shared" si="66"/>
        <v>0</v>
      </c>
      <c r="J89" s="76">
        <f t="shared" si="66"/>
        <v>0</v>
      </c>
      <c r="K89" s="76">
        <f t="shared" si="66"/>
        <v>0</v>
      </c>
      <c r="L89" s="76">
        <f t="shared" si="66"/>
        <v>0</v>
      </c>
      <c r="M89" s="76">
        <f t="shared" si="66"/>
        <v>0</v>
      </c>
      <c r="N89" s="76">
        <f t="shared" si="66"/>
        <v>0</v>
      </c>
      <c r="O89" s="76">
        <f t="shared" si="66"/>
        <v>0</v>
      </c>
      <c r="P89" s="76">
        <f t="shared" si="66"/>
        <v>0</v>
      </c>
      <c r="Q89" s="76">
        <f t="shared" si="66"/>
        <v>0</v>
      </c>
      <c r="R89" s="76">
        <f t="shared" si="66"/>
        <v>0</v>
      </c>
      <c r="S89" s="76">
        <f t="shared" si="66"/>
        <v>0</v>
      </c>
      <c r="T89" s="76">
        <f t="shared" si="67"/>
        <v>0</v>
      </c>
      <c r="U89" s="76">
        <f t="shared" si="67"/>
        <v>0</v>
      </c>
      <c r="V89" s="76">
        <f t="shared" si="67"/>
        <v>0</v>
      </c>
      <c r="W89" s="76">
        <f t="shared" si="67"/>
        <v>0</v>
      </c>
      <c r="X89" s="76">
        <f t="shared" si="67"/>
        <v>0</v>
      </c>
      <c r="Y89" s="76">
        <f t="shared" si="67"/>
        <v>0</v>
      </c>
      <c r="Z89" s="76">
        <f t="shared" si="67"/>
        <v>0</v>
      </c>
      <c r="AA89" s="76">
        <f t="shared" si="67"/>
        <v>0</v>
      </c>
      <c r="AB89" s="76">
        <f t="shared" si="67"/>
        <v>0</v>
      </c>
      <c r="AC89" s="76">
        <f t="shared" si="67"/>
        <v>0</v>
      </c>
      <c r="AD89" s="76">
        <f t="shared" si="67"/>
        <v>0</v>
      </c>
      <c r="AE89" s="76">
        <f t="shared" si="67"/>
        <v>0</v>
      </c>
      <c r="AF89" s="76">
        <f t="shared" si="67"/>
        <v>0</v>
      </c>
    </row>
    <row r="90" spans="2:32" x14ac:dyDescent="0.2">
      <c r="B90" s="3" t="s">
        <v>38</v>
      </c>
      <c r="C90" s="15">
        <f t="shared" ref="C90:U90" si="69">SUM(C86:C89)</f>
        <v>0</v>
      </c>
      <c r="D90" s="15">
        <f t="shared" si="69"/>
        <v>0</v>
      </c>
      <c r="E90" s="15">
        <f t="shared" si="69"/>
        <v>0</v>
      </c>
      <c r="F90" s="15">
        <f t="shared" si="69"/>
        <v>0</v>
      </c>
      <c r="G90" s="15">
        <f t="shared" si="69"/>
        <v>0</v>
      </c>
      <c r="H90" s="15">
        <f t="shared" si="69"/>
        <v>0</v>
      </c>
      <c r="I90" s="15">
        <f t="shared" si="69"/>
        <v>0</v>
      </c>
      <c r="J90" s="15">
        <f t="shared" si="69"/>
        <v>0</v>
      </c>
      <c r="K90" s="15">
        <f t="shared" si="69"/>
        <v>0</v>
      </c>
      <c r="L90" s="15">
        <f t="shared" si="69"/>
        <v>0</v>
      </c>
      <c r="M90" s="15">
        <f t="shared" si="69"/>
        <v>0</v>
      </c>
      <c r="N90" s="15">
        <f t="shared" si="69"/>
        <v>0</v>
      </c>
      <c r="O90" s="15">
        <f t="shared" si="69"/>
        <v>0</v>
      </c>
      <c r="P90" s="15">
        <f t="shared" si="69"/>
        <v>0</v>
      </c>
      <c r="Q90" s="15">
        <f t="shared" si="69"/>
        <v>0</v>
      </c>
      <c r="R90" s="15">
        <f t="shared" si="69"/>
        <v>0</v>
      </c>
      <c r="S90" s="15">
        <f t="shared" si="69"/>
        <v>0</v>
      </c>
      <c r="T90" s="15">
        <f t="shared" si="69"/>
        <v>0</v>
      </c>
      <c r="U90" s="15">
        <f t="shared" si="69"/>
        <v>0</v>
      </c>
      <c r="V90" s="15">
        <f t="shared" ref="V90" si="70">SUM(V86:V89)</f>
        <v>0</v>
      </c>
      <c r="W90" s="15">
        <f t="shared" ref="W90" si="71">SUM(W86:W89)</f>
        <v>0</v>
      </c>
      <c r="X90" s="15">
        <f t="shared" ref="X90" si="72">SUM(X86:X89)</f>
        <v>0</v>
      </c>
      <c r="Y90" s="15">
        <f t="shared" ref="Y90" si="73">SUM(Y86:Y89)</f>
        <v>0</v>
      </c>
      <c r="Z90" s="15">
        <f t="shared" ref="Z90" si="74">SUM(Z86:Z89)</f>
        <v>0</v>
      </c>
      <c r="AA90" s="15">
        <f t="shared" ref="AA90" si="75">SUM(AA86:AA89)</f>
        <v>0</v>
      </c>
      <c r="AB90" s="15">
        <f t="shared" ref="AB90" si="76">SUM(AB86:AB89)</f>
        <v>0</v>
      </c>
      <c r="AC90" s="15">
        <f t="shared" ref="AC90" si="77">SUM(AC86:AC89)</f>
        <v>0</v>
      </c>
      <c r="AD90" s="15">
        <f t="shared" ref="AD90" si="78">SUM(AD86:AD89)</f>
        <v>0</v>
      </c>
      <c r="AE90" s="15">
        <f t="shared" ref="AE90" si="79">SUM(AE86:AE89)</f>
        <v>0</v>
      </c>
      <c r="AF90" s="15">
        <f t="shared" ref="AF90" si="80">SUM(AF86:AF89)</f>
        <v>0</v>
      </c>
    </row>
    <row r="92" spans="2:32" ht="20.25" x14ac:dyDescent="0.3">
      <c r="B92" s="16" t="s">
        <v>261</v>
      </c>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row>
    <row r="93" spans="2:32" x14ac:dyDescent="0.2">
      <c r="AB93"/>
      <c r="AC93"/>
      <c r="AD93"/>
      <c r="AE93"/>
      <c r="AF93"/>
    </row>
    <row r="94" spans="2:32" ht="15.75" x14ac:dyDescent="0.25">
      <c r="B94" s="17" t="s">
        <v>266</v>
      </c>
      <c r="C94" s="17"/>
      <c r="D94" s="17"/>
      <c r="E94" s="17"/>
      <c r="F94" s="1"/>
      <c r="G94" s="1"/>
      <c r="H94" s="1"/>
      <c r="I94" s="1"/>
      <c r="J94" s="1"/>
      <c r="K94" s="1"/>
      <c r="L94" s="1"/>
      <c r="M94" s="1"/>
      <c r="N94" s="1"/>
      <c r="O94" s="1"/>
      <c r="P94" s="1"/>
      <c r="Q94" s="1"/>
      <c r="R94" s="1"/>
      <c r="S94" s="1"/>
      <c r="T94" s="1"/>
      <c r="U94" s="1"/>
      <c r="V94" s="1"/>
      <c r="W94" s="1"/>
      <c r="X94" s="1"/>
      <c r="Y94" s="1"/>
      <c r="Z94" s="1"/>
      <c r="AA94" s="1"/>
    </row>
    <row r="95" spans="2:32" ht="14.25" x14ac:dyDescent="0.2">
      <c r="E95" s="1"/>
      <c r="F95" s="1"/>
      <c r="G95" s="1"/>
      <c r="H95" s="1"/>
      <c r="I95" s="1"/>
      <c r="J95" s="1"/>
      <c r="K95" s="1"/>
      <c r="L95" s="1"/>
      <c r="M95" s="1"/>
      <c r="N95" s="1"/>
      <c r="O95" s="1"/>
      <c r="P95" s="1"/>
      <c r="Q95" s="1"/>
      <c r="R95" s="1"/>
      <c r="S95" s="1"/>
      <c r="T95" s="1"/>
      <c r="U95" s="1"/>
      <c r="V95" s="1"/>
      <c r="W95" s="1"/>
      <c r="X95" s="1"/>
      <c r="Y95" s="1"/>
      <c r="Z95" s="1"/>
      <c r="AA95" s="1"/>
    </row>
    <row r="96" spans="2:32" ht="15.75" x14ac:dyDescent="0.25">
      <c r="B96" s="11" t="s">
        <v>284</v>
      </c>
      <c r="C96" s="11" t="s">
        <v>323</v>
      </c>
      <c r="D96" s="11" t="s">
        <v>268</v>
      </c>
      <c r="E96" s="11" t="s">
        <v>266</v>
      </c>
    </row>
    <row r="97" spans="2:5" x14ac:dyDescent="0.2">
      <c r="B97" s="3" t="s">
        <v>182</v>
      </c>
      <c r="C97" s="72">
        <f>NPV(Discount_Rate,D86:AF86)+C86</f>
        <v>0</v>
      </c>
      <c r="D97" s="72">
        <f>NPV(Discount_Rate,D42:AF42)+C42</f>
        <v>0</v>
      </c>
      <c r="E97" s="72">
        <f>(C97-D97)*Likelihood</f>
        <v>0</v>
      </c>
    </row>
    <row r="98" spans="2:5" x14ac:dyDescent="0.2">
      <c r="B98" s="3" t="s">
        <v>83</v>
      </c>
      <c r="C98" s="73">
        <f>NPV(Discount_Rate,D87:AF87)+C87</f>
        <v>0</v>
      </c>
      <c r="D98" s="73">
        <f>NPV(Discount_Rate,D43:AF43)+C43</f>
        <v>0</v>
      </c>
      <c r="E98" s="73">
        <f>(C98-D98)*Likelihood</f>
        <v>0</v>
      </c>
    </row>
    <row r="99" spans="2:5" x14ac:dyDescent="0.2">
      <c r="B99" s="3" t="s">
        <v>73</v>
      </c>
      <c r="C99" s="73">
        <f>NPV(Discount_Rate,D88:AF88)+C88</f>
        <v>0</v>
      </c>
      <c r="D99" s="73">
        <f>NPV(Discount_Rate,D44:AF44)+C44</f>
        <v>0</v>
      </c>
      <c r="E99" s="73">
        <f>(C99-D99)*Likelihood</f>
        <v>0</v>
      </c>
    </row>
    <row r="100" spans="2:5" x14ac:dyDescent="0.2">
      <c r="B100" s="3" t="s">
        <v>183</v>
      </c>
      <c r="C100" s="74">
        <f>NPV(Discount_Rate,D89:AF89)+C89</f>
        <v>0</v>
      </c>
      <c r="D100" s="74">
        <f>NPV(Discount_Rate,D45:AF45)+C45</f>
        <v>0</v>
      </c>
      <c r="E100" s="74">
        <f>(C100-D100)*Likelihood</f>
        <v>0</v>
      </c>
    </row>
    <row r="101" spans="2:5" x14ac:dyDescent="0.2">
      <c r="B101" s="3" t="s">
        <v>38</v>
      </c>
      <c r="C101" s="15">
        <f>SUM(C97:C100)</f>
        <v>0</v>
      </c>
      <c r="D101" s="15">
        <f>SUM(D97:D100)</f>
        <v>0</v>
      </c>
      <c r="E101" s="15">
        <f>SUM(E97:E100)</f>
        <v>0</v>
      </c>
    </row>
    <row r="103" spans="2:5" ht="15.75" x14ac:dyDescent="0.25">
      <c r="B103" s="17" t="s">
        <v>39</v>
      </c>
      <c r="C103" s="17"/>
      <c r="D103" s="17"/>
      <c r="E103" s="17"/>
    </row>
    <row r="105" spans="2:5" ht="15.75" x14ac:dyDescent="0.25">
      <c r="B105" s="11" t="s">
        <v>284</v>
      </c>
      <c r="C105" s="11" t="s">
        <v>267</v>
      </c>
      <c r="D105" s="11" t="s">
        <v>268</v>
      </c>
      <c r="E105" s="11" t="s">
        <v>81</v>
      </c>
    </row>
    <row r="106" spans="2:5" x14ac:dyDescent="0.2">
      <c r="B106" s="3" t="s">
        <v>30</v>
      </c>
      <c r="C106" s="72">
        <f>NPV(Discount_Rate,'User interface'!D14:AF14)+'User interface'!C14</f>
        <v>0</v>
      </c>
      <c r="D106" s="72">
        <f>NPV(Discount_Rate,'User interface'!D20:AF20)+'User interface'!C20</f>
        <v>0</v>
      </c>
      <c r="E106" s="72">
        <f>D106-C106</f>
        <v>0</v>
      </c>
    </row>
    <row r="107" spans="2:5" x14ac:dyDescent="0.2">
      <c r="B107" s="3" t="s">
        <v>31</v>
      </c>
      <c r="C107" s="73">
        <f>NPV(Discount_Rate,'User interface'!D15:AF15)+'User interface'!C15</f>
        <v>0</v>
      </c>
      <c r="D107" s="73">
        <f>NPV(Discount_Rate,'User interface'!D21:AF21)+'User interface'!C21</f>
        <v>0</v>
      </c>
      <c r="E107" s="73">
        <f>D107-C107</f>
        <v>0</v>
      </c>
    </row>
    <row r="108" spans="2:5" x14ac:dyDescent="0.2">
      <c r="B108" s="3" t="s">
        <v>263</v>
      </c>
      <c r="C108" s="73">
        <f>NPV(Discount_Rate,'User interface'!D16:AF16)+'User interface'!C16</f>
        <v>0</v>
      </c>
      <c r="D108" s="73">
        <f>NPV(Discount_Rate,'User interface'!D22:AF22)+'User interface'!C22</f>
        <v>0</v>
      </c>
      <c r="E108" s="73">
        <f>D108-C108</f>
        <v>0</v>
      </c>
    </row>
    <row r="109" spans="2:5" x14ac:dyDescent="0.2">
      <c r="B109" s="3" t="s">
        <v>38</v>
      </c>
      <c r="C109" s="74">
        <f>NPV(Discount_Rate,'User interface'!D17:AF17)+'User interface'!C17</f>
        <v>0</v>
      </c>
      <c r="D109" s="74">
        <f>NPV(Discount_Rate,'User interface'!D23:AF23)+'User interface'!C23</f>
        <v>0</v>
      </c>
      <c r="E109" s="74">
        <f>D109-C109</f>
        <v>0</v>
      </c>
    </row>
    <row r="111" spans="2:5" ht="15.75" x14ac:dyDescent="0.25">
      <c r="B111" s="17" t="s">
        <v>282</v>
      </c>
      <c r="C111" s="17"/>
      <c r="E111" s="1"/>
    </row>
    <row r="113" spans="2:32" ht="15.75" x14ac:dyDescent="0.25">
      <c r="B113" s="11"/>
      <c r="C113" s="11"/>
    </row>
    <row r="114" spans="2:32" x14ac:dyDescent="0.2">
      <c r="B114" s="3" t="s">
        <v>283</v>
      </c>
      <c r="C114" s="97">
        <f>E101</f>
        <v>0</v>
      </c>
    </row>
    <row r="115" spans="2:32" x14ac:dyDescent="0.2">
      <c r="B115" s="3" t="s">
        <v>285</v>
      </c>
      <c r="C115" s="97">
        <f>E109</f>
        <v>0</v>
      </c>
    </row>
    <row r="116" spans="2:32" x14ac:dyDescent="0.2">
      <c r="B116" s="3" t="s">
        <v>24</v>
      </c>
      <c r="C116" s="97">
        <f>C114-C115</f>
        <v>0</v>
      </c>
    </row>
    <row r="117" spans="2:32" x14ac:dyDescent="0.2">
      <c r="B117" s="3" t="s">
        <v>286</v>
      </c>
      <c r="C117" s="5" t="e">
        <f>C114/C115</f>
        <v>#DIV/0!</v>
      </c>
    </row>
    <row r="119" spans="2:32" ht="20.25" x14ac:dyDescent="0.3">
      <c r="B119" s="16" t="s">
        <v>269</v>
      </c>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row>
    <row r="120" spans="2:32" x14ac:dyDescent="0.2">
      <c r="AB120"/>
      <c r="AC120"/>
      <c r="AD120"/>
      <c r="AE120"/>
      <c r="AF120"/>
    </row>
    <row r="121" spans="2:32" ht="15.75" x14ac:dyDescent="0.25">
      <c r="B121" s="17" t="s">
        <v>325</v>
      </c>
      <c r="C121" s="17"/>
      <c r="D121" s="17"/>
      <c r="E121" s="17"/>
      <c r="F121" s="17"/>
      <c r="AB121"/>
      <c r="AC121"/>
      <c r="AD121"/>
      <c r="AE121"/>
      <c r="AF121"/>
    </row>
    <row r="122" spans="2:32" x14ac:dyDescent="0.2">
      <c r="AB122"/>
      <c r="AC122"/>
      <c r="AD122"/>
      <c r="AE122"/>
      <c r="AF122"/>
    </row>
    <row r="123" spans="2:32" ht="31.5" x14ac:dyDescent="0.25">
      <c r="B123" s="11" t="s">
        <v>166</v>
      </c>
      <c r="C123" s="12" t="s">
        <v>271</v>
      </c>
      <c r="D123" s="12" t="s">
        <v>272</v>
      </c>
      <c r="E123" s="12" t="s">
        <v>273</v>
      </c>
      <c r="F123" s="12" t="s">
        <v>270</v>
      </c>
    </row>
    <row r="124" spans="2:32" x14ac:dyDescent="0.2">
      <c r="B124" s="3" t="s">
        <v>37</v>
      </c>
      <c r="C124" s="47">
        <f>Safety!C115*Safety!$C$75</f>
        <v>4.1721653238339718</v>
      </c>
      <c r="D124" s="98">
        <f t="shared" ref="D124:D129" si="81">C124*(NPV(Discount_Rate,D53:AF53)+C53)/10^9</f>
        <v>0</v>
      </c>
      <c r="E124" s="98">
        <f t="shared" ref="E124:E129" si="82">C124*(NPV(Discount_Rate,D9:AF9)+C9)/10^9</f>
        <v>0</v>
      </c>
      <c r="F124" s="98">
        <f>D124-E124</f>
        <v>0</v>
      </c>
    </row>
    <row r="125" spans="2:32" x14ac:dyDescent="0.2">
      <c r="B125" s="3" t="s">
        <v>122</v>
      </c>
      <c r="C125" s="48">
        <f>Safety!C116*Safety!$C$75</f>
        <v>9.7305174771451632</v>
      </c>
      <c r="D125" s="99">
        <f t="shared" si="81"/>
        <v>0</v>
      </c>
      <c r="E125" s="99">
        <f t="shared" si="82"/>
        <v>0</v>
      </c>
      <c r="F125" s="99">
        <f t="shared" ref="F125:F129" si="83">D125-E125</f>
        <v>0</v>
      </c>
    </row>
    <row r="126" spans="2:32" x14ac:dyDescent="0.2">
      <c r="B126" s="3" t="s">
        <v>123</v>
      </c>
      <c r="C126" s="48">
        <f>Safety!C117*Safety!$C$75</f>
        <v>9.7305174771451632</v>
      </c>
      <c r="D126" s="99">
        <f t="shared" si="81"/>
        <v>0</v>
      </c>
      <c r="E126" s="99">
        <f t="shared" si="82"/>
        <v>0</v>
      </c>
      <c r="F126" s="99">
        <f t="shared" si="83"/>
        <v>0</v>
      </c>
    </row>
    <row r="127" spans="2:32" x14ac:dyDescent="0.2">
      <c r="B127" s="3" t="s">
        <v>40</v>
      </c>
      <c r="C127" s="48">
        <f>Safety!C118*Safety!$C$75</f>
        <v>8.8777617224134922</v>
      </c>
      <c r="D127" s="99">
        <f t="shared" si="81"/>
        <v>0</v>
      </c>
      <c r="E127" s="99">
        <f t="shared" si="82"/>
        <v>0</v>
      </c>
      <c r="F127" s="99">
        <f t="shared" si="83"/>
        <v>0</v>
      </c>
    </row>
    <row r="128" spans="2:32" x14ac:dyDescent="0.2">
      <c r="B128" s="3" t="s">
        <v>41</v>
      </c>
      <c r="C128" s="48">
        <f>Safety!C119*Safety!$C$75</f>
        <v>11.761004863974915</v>
      </c>
      <c r="D128" s="99">
        <f t="shared" si="81"/>
        <v>0</v>
      </c>
      <c r="E128" s="99">
        <f t="shared" si="82"/>
        <v>0</v>
      </c>
      <c r="F128" s="99">
        <f t="shared" si="83"/>
        <v>0</v>
      </c>
    </row>
    <row r="129" spans="2:6" x14ac:dyDescent="0.2">
      <c r="B129" s="3" t="s">
        <v>84</v>
      </c>
      <c r="C129" s="64">
        <f>Safety!C120*Safety!$C$75</f>
        <v>11.761004863974915</v>
      </c>
      <c r="D129" s="100">
        <f t="shared" si="81"/>
        <v>0</v>
      </c>
      <c r="E129" s="100">
        <f t="shared" si="82"/>
        <v>0</v>
      </c>
      <c r="F129" s="100">
        <f t="shared" si="83"/>
        <v>0</v>
      </c>
    </row>
    <row r="130" spans="2:6" x14ac:dyDescent="0.2">
      <c r="B130" s="3" t="s">
        <v>38</v>
      </c>
      <c r="C130" s="59"/>
      <c r="D130" s="101">
        <f>SUM(D124:D129)</f>
        <v>0</v>
      </c>
      <c r="E130" s="101">
        <f>SUM(E124:E129)</f>
        <v>0</v>
      </c>
      <c r="F130" s="101">
        <f>SUM(F124:F129)</f>
        <v>0</v>
      </c>
    </row>
    <row r="132" spans="2:6" ht="15.75" x14ac:dyDescent="0.25">
      <c r="B132" s="17" t="s">
        <v>324</v>
      </c>
      <c r="C132" s="17"/>
      <c r="D132" s="17"/>
      <c r="E132" s="17"/>
      <c r="F132" s="17"/>
    </row>
    <row r="134" spans="2:6" ht="31.5" x14ac:dyDescent="0.25">
      <c r="B134" s="11" t="s">
        <v>166</v>
      </c>
      <c r="C134" s="12" t="s">
        <v>276</v>
      </c>
      <c r="D134" s="12" t="s">
        <v>275</v>
      </c>
      <c r="E134" s="12" t="s">
        <v>279</v>
      </c>
      <c r="F134" s="12" t="s">
        <v>274</v>
      </c>
    </row>
    <row r="135" spans="2:6" x14ac:dyDescent="0.2">
      <c r="B135" s="3" t="s">
        <v>37</v>
      </c>
      <c r="C135" s="47">
        <f>SUMIFS('Vehicle mix and value of time'!C35:D35,'Vehicle mix and value of time'!$C$34:$D$34,Region)</f>
        <v>0</v>
      </c>
      <c r="D135" s="15">
        <f t="shared" ref="D135:D140" si="84">C135*(NPV(Discount_Rate,D64:AF64)+C64)</f>
        <v>0</v>
      </c>
      <c r="E135" s="72">
        <f t="shared" ref="E135:E140" si="85">C135*(NPV(Discount_Rate,D20:AF20)+C20)</f>
        <v>0</v>
      </c>
      <c r="F135" s="72">
        <f t="shared" ref="F135:F140" si="86">D135-E135</f>
        <v>0</v>
      </c>
    </row>
    <row r="136" spans="2:6" x14ac:dyDescent="0.2">
      <c r="B136" s="3" t="s">
        <v>122</v>
      </c>
      <c r="C136" s="48">
        <f>SUMIFS('Vehicle mix and value of time'!C36:D36,'Vehicle mix and value of time'!$C$34:$D$34,Region)</f>
        <v>0</v>
      </c>
      <c r="D136" s="73">
        <f t="shared" si="84"/>
        <v>0</v>
      </c>
      <c r="E136" s="73">
        <f t="shared" si="85"/>
        <v>0</v>
      </c>
      <c r="F136" s="73">
        <f t="shared" si="86"/>
        <v>0</v>
      </c>
    </row>
    <row r="137" spans="2:6" x14ac:dyDescent="0.2">
      <c r="B137" s="3" t="s">
        <v>123</v>
      </c>
      <c r="C137" s="48">
        <f>SUMIFS('Vehicle mix and value of time'!C37:D37,'Vehicle mix and value of time'!$C$34:$D$34,Region)</f>
        <v>0</v>
      </c>
      <c r="D137" s="73">
        <f t="shared" si="84"/>
        <v>0</v>
      </c>
      <c r="E137" s="73">
        <f t="shared" si="85"/>
        <v>0</v>
      </c>
      <c r="F137" s="73">
        <f t="shared" si="86"/>
        <v>0</v>
      </c>
    </row>
    <row r="138" spans="2:6" x14ac:dyDescent="0.2">
      <c r="B138" s="3" t="s">
        <v>40</v>
      </c>
      <c r="C138" s="48">
        <f>SUMIFS('Vehicle mix and value of time'!C38:D38,'Vehicle mix and value of time'!$C$34:$D$34,Region)</f>
        <v>0</v>
      </c>
      <c r="D138" s="73">
        <f t="shared" si="84"/>
        <v>0</v>
      </c>
      <c r="E138" s="73">
        <f t="shared" si="85"/>
        <v>0</v>
      </c>
      <c r="F138" s="73">
        <f t="shared" si="86"/>
        <v>0</v>
      </c>
    </row>
    <row r="139" spans="2:6" x14ac:dyDescent="0.2">
      <c r="B139" s="3" t="s">
        <v>41</v>
      </c>
      <c r="C139" s="48">
        <f>SUMIFS('Vehicle mix and value of time'!C39:D39,'Vehicle mix and value of time'!$C$34:$D$34,Region)</f>
        <v>0</v>
      </c>
      <c r="D139" s="73">
        <f t="shared" si="84"/>
        <v>0</v>
      </c>
      <c r="E139" s="73">
        <f t="shared" si="85"/>
        <v>0</v>
      </c>
      <c r="F139" s="73">
        <f t="shared" si="86"/>
        <v>0</v>
      </c>
    </row>
    <row r="140" spans="2:6" x14ac:dyDescent="0.2">
      <c r="B140" s="3" t="s">
        <v>84</v>
      </c>
      <c r="C140" s="64">
        <f>SUMIFS('Vehicle mix and value of time'!C40:D40,'Vehicle mix and value of time'!$C$34:$D$34,Region)</f>
        <v>0</v>
      </c>
      <c r="D140" s="74">
        <f t="shared" si="84"/>
        <v>0</v>
      </c>
      <c r="E140" s="74">
        <f t="shared" si="85"/>
        <v>0</v>
      </c>
      <c r="F140" s="74">
        <f t="shared" si="86"/>
        <v>0</v>
      </c>
    </row>
    <row r="141" spans="2:6" x14ac:dyDescent="0.2">
      <c r="B141" s="3" t="s">
        <v>38</v>
      </c>
      <c r="C141" s="59"/>
      <c r="D141" s="15">
        <f>SUM(D135:D140)</f>
        <v>0</v>
      </c>
      <c r="E141" s="15">
        <f t="shared" ref="E141:F141" si="87">SUM(E135:E140)</f>
        <v>0</v>
      </c>
      <c r="F141" s="15">
        <f t="shared" si="87"/>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65A2E-BF9B-463D-AEA8-09352156C567}">
  <sheetPr>
    <tabColor theme="0"/>
  </sheetPr>
  <dimension ref="A1:AA33"/>
  <sheetViews>
    <sheetView showGridLines="0" zoomScale="70" zoomScaleNormal="70" workbookViewId="0">
      <selection activeCell="F58" sqref="F58"/>
    </sheetView>
  </sheetViews>
  <sheetFormatPr defaultColWidth="8.88671875" defaultRowHeight="15" x14ac:dyDescent="0.2"/>
  <cols>
    <col min="1" max="1" width="18.5546875" style="1" customWidth="1"/>
    <col min="2" max="3" width="30.88671875" style="1" customWidth="1"/>
    <col min="4" max="4" width="12" style="1" customWidth="1"/>
    <col min="5" max="10" width="12" customWidth="1"/>
    <col min="11" max="27" width="8.6640625" customWidth="1"/>
    <col min="28" max="16384" width="8.88671875" style="1"/>
  </cols>
  <sheetData>
    <row r="1" spans="1:5" ht="18" x14ac:dyDescent="0.25">
      <c r="A1" s="2" t="str">
        <f ca="1">MID(CELL("filename",A2),FIND("]",CELL("filename",A2))+1,256)</f>
        <v>Technical assumptions =&gt;</v>
      </c>
    </row>
    <row r="2" spans="1:5" x14ac:dyDescent="0.2">
      <c r="A2" s="6" t="s">
        <v>0</v>
      </c>
    </row>
    <row r="4" spans="1:5" x14ac:dyDescent="0.2">
      <c r="E4" s="1"/>
    </row>
    <row r="5" spans="1:5" x14ac:dyDescent="0.2">
      <c r="E5" s="1"/>
    </row>
    <row r="6" spans="1:5" x14ac:dyDescent="0.2">
      <c r="E6" s="1"/>
    </row>
    <row r="7" spans="1:5" x14ac:dyDescent="0.2">
      <c r="E7" s="1"/>
    </row>
    <row r="8" spans="1:5" x14ac:dyDescent="0.2">
      <c r="E8" s="1"/>
    </row>
    <row r="9" spans="1:5" x14ac:dyDescent="0.2">
      <c r="E9" s="1"/>
    </row>
    <row r="10" spans="1:5" x14ac:dyDescent="0.2">
      <c r="E10" s="1"/>
    </row>
    <row r="11" spans="1:5" x14ac:dyDescent="0.2">
      <c r="E11" s="1"/>
    </row>
    <row r="12" spans="1:5" customFormat="1" x14ac:dyDescent="0.2">
      <c r="B12" s="1"/>
      <c r="C12" s="1"/>
      <c r="D12" s="1"/>
      <c r="E12" s="1"/>
    </row>
    <row r="13" spans="1:5" customFormat="1" x14ac:dyDescent="0.2">
      <c r="B13" s="1"/>
      <c r="C13" s="1"/>
      <c r="D13" s="1"/>
      <c r="E13" s="1"/>
    </row>
    <row r="14" spans="1:5" customFormat="1" x14ac:dyDescent="0.2">
      <c r="B14" s="1"/>
      <c r="C14" s="1"/>
      <c r="D14" s="1"/>
      <c r="E14" s="1"/>
    </row>
    <row r="15" spans="1:5" customFormat="1" x14ac:dyDescent="0.2">
      <c r="B15" s="1"/>
      <c r="C15" s="1"/>
      <c r="D15" s="1"/>
      <c r="E15" s="1"/>
    </row>
    <row r="16" spans="1:5" customFormat="1" x14ac:dyDescent="0.2">
      <c r="B16" s="1"/>
      <c r="C16" s="1"/>
      <c r="D16" s="1"/>
      <c r="E16" s="1"/>
    </row>
    <row r="17" spans="2:5" customFormat="1" x14ac:dyDescent="0.2">
      <c r="B17" s="1"/>
      <c r="C17" s="1"/>
      <c r="D17" s="1"/>
      <c r="E17" s="1"/>
    </row>
    <row r="18" spans="2:5" customFormat="1" x14ac:dyDescent="0.2">
      <c r="B18" s="1"/>
      <c r="C18" s="1"/>
      <c r="D18" s="1"/>
      <c r="E18" s="1"/>
    </row>
    <row r="19" spans="2:5" customFormat="1" x14ac:dyDescent="0.2">
      <c r="B19" s="1"/>
      <c r="C19" s="1"/>
      <c r="D19" s="1"/>
      <c r="E19" s="1"/>
    </row>
    <row r="20" spans="2:5" x14ac:dyDescent="0.2">
      <c r="E20" s="1"/>
    </row>
    <row r="21" spans="2:5" x14ac:dyDescent="0.2">
      <c r="E21" s="1"/>
    </row>
    <row r="22" spans="2:5" customFormat="1" x14ac:dyDescent="0.2"/>
    <row r="23" spans="2:5" customFormat="1" x14ac:dyDescent="0.2"/>
    <row r="24" spans="2:5" customFormat="1" x14ac:dyDescent="0.2"/>
    <row r="25" spans="2:5" customFormat="1" x14ac:dyDescent="0.2"/>
    <row r="26" spans="2:5" customFormat="1" x14ac:dyDescent="0.2"/>
    <row r="27" spans="2:5" customFormat="1" x14ac:dyDescent="0.2"/>
    <row r="28" spans="2:5" customFormat="1" x14ac:dyDescent="0.2"/>
    <row r="29" spans="2:5" customFormat="1" x14ac:dyDescent="0.2"/>
    <row r="30" spans="2:5" customFormat="1" x14ac:dyDescent="0.2"/>
    <row r="31" spans="2:5" customFormat="1" x14ac:dyDescent="0.2"/>
    <row r="32" spans="2:5" customFormat="1" x14ac:dyDescent="0.2"/>
    <row r="33" customFormat="1" x14ac:dyDescent="0.2"/>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9FFCC"/>
  </sheetPr>
  <dimension ref="A1:AA40"/>
  <sheetViews>
    <sheetView showGridLines="0" zoomScale="70" zoomScaleNormal="70" workbookViewId="0">
      <selection activeCell="E31" sqref="E31"/>
    </sheetView>
  </sheetViews>
  <sheetFormatPr defaultColWidth="8.88671875" defaultRowHeight="15" x14ac:dyDescent="0.2"/>
  <cols>
    <col min="1" max="1" width="18.5546875" style="1" customWidth="1"/>
    <col min="2" max="2" width="23.6640625" style="1" customWidth="1"/>
    <col min="3" max="3" width="19.44140625" style="1" customWidth="1"/>
    <col min="4" max="4" width="15.44140625" style="1" customWidth="1"/>
    <col min="5" max="5" width="17.109375" bestFit="1" customWidth="1"/>
    <col min="6" max="6" width="13.88671875" customWidth="1"/>
    <col min="7" max="8" width="12" customWidth="1"/>
    <col min="9" max="9" width="20.44140625" customWidth="1"/>
    <col min="10" max="10" width="12" customWidth="1"/>
    <col min="11" max="27" width="8.77734375" customWidth="1"/>
    <col min="28" max="16384" width="8.88671875" style="1"/>
  </cols>
  <sheetData>
    <row r="1" spans="1:21" ht="18" x14ac:dyDescent="0.25">
      <c r="A1" s="2" t="str">
        <f ca="1">MID(CELL("filename",A2),FIND("]",CELL("filename",A2))+1,256)</f>
        <v>High level assumptions</v>
      </c>
    </row>
    <row r="2" spans="1:21" x14ac:dyDescent="0.2">
      <c r="A2" s="6" t="s">
        <v>0</v>
      </c>
    </row>
    <row r="4" spans="1:21" ht="20.25" x14ac:dyDescent="0.3">
      <c r="B4" s="7" t="s">
        <v>4</v>
      </c>
      <c r="C4" s="7"/>
      <c r="D4" s="7"/>
      <c r="E4" s="7"/>
      <c r="F4" s="7"/>
      <c r="G4" s="7"/>
      <c r="H4" s="7"/>
      <c r="I4" s="7"/>
    </row>
    <row r="5" spans="1:21" x14ac:dyDescent="0.2">
      <c r="E5" s="1"/>
      <c r="F5" s="1"/>
      <c r="G5" s="1"/>
      <c r="H5" s="1"/>
      <c r="I5" s="1"/>
      <c r="T5" s="1"/>
      <c r="U5" s="1"/>
    </row>
    <row r="6" spans="1:21" ht="15.75" x14ac:dyDescent="0.25">
      <c r="B6" s="8" t="s">
        <v>32</v>
      </c>
      <c r="C6" s="8"/>
      <c r="D6" s="9"/>
      <c r="E6" s="9"/>
      <c r="F6" s="9"/>
      <c r="G6" s="9"/>
      <c r="H6" s="9"/>
      <c r="I6" s="9"/>
      <c r="T6" s="1"/>
      <c r="U6" s="1"/>
    </row>
    <row r="7" spans="1:21" x14ac:dyDescent="0.2">
      <c r="E7" s="1"/>
      <c r="F7" s="1"/>
      <c r="G7" s="1"/>
      <c r="H7" s="1"/>
      <c r="I7" s="1"/>
      <c r="T7" s="1"/>
      <c r="U7" s="1"/>
    </row>
    <row r="8" spans="1:21" ht="15.75" x14ac:dyDescent="0.25">
      <c r="B8" s="11"/>
      <c r="C8" s="11" t="s">
        <v>18</v>
      </c>
      <c r="E8" s="1"/>
      <c r="F8" s="1"/>
      <c r="G8" s="1"/>
      <c r="H8" s="1"/>
      <c r="I8" s="1"/>
      <c r="T8" s="1"/>
      <c r="U8" s="1"/>
    </row>
    <row r="9" spans="1:21" x14ac:dyDescent="0.2">
      <c r="B9" s="3" t="s">
        <v>21</v>
      </c>
      <c r="C9" s="14">
        <v>7.0000000000000007E-2</v>
      </c>
      <c r="E9" s="1"/>
      <c r="F9" s="1"/>
      <c r="G9" s="1"/>
      <c r="H9" s="1"/>
      <c r="I9" s="1"/>
      <c r="T9" s="1"/>
      <c r="U9" s="1"/>
    </row>
    <row r="10" spans="1:21" x14ac:dyDescent="0.2">
      <c r="B10" s="3" t="s">
        <v>179</v>
      </c>
      <c r="C10" s="14">
        <v>2.5000000000000001E-2</v>
      </c>
      <c r="E10" s="1"/>
      <c r="F10" s="1"/>
      <c r="G10" s="1"/>
      <c r="H10" s="1"/>
      <c r="I10" s="1"/>
      <c r="T10" s="1"/>
      <c r="U10" s="1"/>
    </row>
    <row r="11" spans="1:21" x14ac:dyDescent="0.2">
      <c r="E11" s="1"/>
      <c r="F11" s="1"/>
      <c r="G11" s="1"/>
      <c r="H11" s="1"/>
      <c r="I11" s="1"/>
    </row>
    <row r="12" spans="1:21" ht="15.75" x14ac:dyDescent="0.25">
      <c r="B12" s="8" t="s">
        <v>171</v>
      </c>
      <c r="C12" s="8"/>
      <c r="E12" s="1"/>
      <c r="F12" s="1"/>
      <c r="G12" s="1"/>
      <c r="H12" s="1"/>
      <c r="I12" s="1"/>
    </row>
    <row r="13" spans="1:21" x14ac:dyDescent="0.2">
      <c r="E13" s="1"/>
      <c r="F13" s="1"/>
      <c r="G13" s="1"/>
      <c r="H13" s="1"/>
      <c r="I13" s="1"/>
    </row>
    <row r="14" spans="1:21" ht="15.75" x14ac:dyDescent="0.25">
      <c r="B14" s="11" t="s">
        <v>108</v>
      </c>
      <c r="C14" s="11" t="s">
        <v>176</v>
      </c>
      <c r="D14" s="11" t="s">
        <v>172</v>
      </c>
      <c r="E14" s="11"/>
      <c r="F14" s="11"/>
      <c r="G14" s="11"/>
      <c r="H14" s="11"/>
      <c r="I14" s="11"/>
    </row>
    <row r="15" spans="1:21" x14ac:dyDescent="0.2">
      <c r="B15" s="67">
        <v>41426</v>
      </c>
      <c r="C15" s="4">
        <v>103.2</v>
      </c>
      <c r="D15" s="3" t="s">
        <v>173</v>
      </c>
      <c r="E15" s="3"/>
      <c r="F15" s="3"/>
      <c r="G15" s="3"/>
      <c r="H15" s="3"/>
      <c r="I15" s="3"/>
    </row>
    <row r="16" spans="1:21" x14ac:dyDescent="0.2">
      <c r="B16" s="67">
        <v>43617</v>
      </c>
      <c r="C16" s="4">
        <v>115.3</v>
      </c>
      <c r="D16" s="3"/>
      <c r="E16" s="3"/>
      <c r="F16" s="3"/>
      <c r="G16" s="3"/>
      <c r="H16" s="3"/>
      <c r="I16" s="3"/>
    </row>
    <row r="17" spans="2:9" x14ac:dyDescent="0.2">
      <c r="B17" s="67">
        <v>43800</v>
      </c>
      <c r="C17" s="4">
        <v>116.7</v>
      </c>
      <c r="D17" s="3"/>
      <c r="E17" s="3"/>
      <c r="F17" s="3"/>
      <c r="G17" s="3"/>
      <c r="H17" s="3"/>
      <c r="I17" s="3"/>
    </row>
    <row r="18" spans="2:9" x14ac:dyDescent="0.2">
      <c r="B18" s="67">
        <v>43983</v>
      </c>
      <c r="C18" s="4">
        <v>115.8</v>
      </c>
      <c r="D18" s="3"/>
      <c r="E18" s="3"/>
      <c r="F18" s="3"/>
      <c r="G18" s="3"/>
      <c r="H18" s="3"/>
      <c r="I18" s="3"/>
    </row>
    <row r="19" spans="2:9" x14ac:dyDescent="0.2">
      <c r="E19" s="1"/>
      <c r="F19" s="1"/>
      <c r="G19" s="1"/>
      <c r="H19" s="1"/>
      <c r="I19" s="1"/>
    </row>
    <row r="20" spans="2:9" customFormat="1" x14ac:dyDescent="0.2">
      <c r="B20" s="1"/>
      <c r="C20" s="1"/>
      <c r="D20" s="1"/>
    </row>
    <row r="21" spans="2:9" customFormat="1" x14ac:dyDescent="0.2">
      <c r="B21" s="1"/>
      <c r="C21" s="1"/>
      <c r="D21" s="1"/>
    </row>
    <row r="22" spans="2:9" customFormat="1" x14ac:dyDescent="0.2">
      <c r="B22" s="1"/>
      <c r="C22" s="1"/>
      <c r="D22" s="1"/>
    </row>
    <row r="23" spans="2:9" customFormat="1" x14ac:dyDescent="0.2">
      <c r="B23" s="1"/>
      <c r="C23" s="1"/>
      <c r="D23" s="1"/>
    </row>
    <row r="24" spans="2:9" customFormat="1" x14ac:dyDescent="0.2">
      <c r="B24" s="1"/>
      <c r="C24" s="1"/>
      <c r="D24" s="1"/>
    </row>
    <row r="25" spans="2:9" customFormat="1" x14ac:dyDescent="0.2">
      <c r="B25" s="1"/>
      <c r="C25" s="1"/>
      <c r="D25" s="1"/>
    </row>
    <row r="26" spans="2:9" customFormat="1" x14ac:dyDescent="0.2">
      <c r="B26" s="1"/>
      <c r="C26" s="1"/>
      <c r="D26" s="1"/>
    </row>
    <row r="27" spans="2:9" customFormat="1" x14ac:dyDescent="0.2">
      <c r="B27" s="1"/>
      <c r="C27" s="1"/>
      <c r="D27" s="1"/>
    </row>
    <row r="30" spans="2:9" customFormat="1" x14ac:dyDescent="0.2">
      <c r="B30" s="1"/>
      <c r="C30" s="1"/>
      <c r="D30" s="1"/>
    </row>
    <row r="31" spans="2:9" customFormat="1" x14ac:dyDescent="0.2">
      <c r="B31" s="1"/>
      <c r="C31" s="1"/>
      <c r="D31" s="1"/>
    </row>
    <row r="32" spans="2:9" customFormat="1" x14ac:dyDescent="0.2">
      <c r="B32" s="1"/>
      <c r="C32" s="1"/>
      <c r="D32" s="1"/>
    </row>
    <row r="33" spans="1:4" customFormat="1" x14ac:dyDescent="0.2">
      <c r="B33" s="1"/>
      <c r="C33" s="1"/>
      <c r="D33" s="1"/>
    </row>
    <row r="34" spans="1:4" customFormat="1" x14ac:dyDescent="0.2">
      <c r="B34" s="1"/>
      <c r="C34" s="1"/>
      <c r="D34" s="1"/>
    </row>
    <row r="35" spans="1:4" customFormat="1" x14ac:dyDescent="0.2">
      <c r="B35" s="1"/>
      <c r="C35" s="1"/>
      <c r="D35" s="1"/>
    </row>
    <row r="36" spans="1:4" customFormat="1" x14ac:dyDescent="0.2">
      <c r="B36" s="1"/>
      <c r="C36" s="1"/>
      <c r="D36" s="1"/>
    </row>
    <row r="37" spans="1:4" customFormat="1" x14ac:dyDescent="0.2">
      <c r="B37" s="1"/>
      <c r="C37" s="1"/>
      <c r="D37" s="1"/>
    </row>
    <row r="38" spans="1:4" customFormat="1" x14ac:dyDescent="0.2">
      <c r="B38" s="1"/>
      <c r="C38" s="1"/>
      <c r="D38" s="1"/>
    </row>
    <row r="39" spans="1:4" customFormat="1" x14ac:dyDescent="0.2">
      <c r="B39" s="1"/>
      <c r="C39" s="1"/>
      <c r="D39" s="1"/>
    </row>
    <row r="40" spans="1:4" customFormat="1" x14ac:dyDescent="0.2">
      <c r="A40" s="1"/>
      <c r="B40" s="1"/>
      <c r="C40" s="1"/>
      <c r="D40" s="1"/>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FA8AC-378D-470C-BDA1-30682EC49439}">
  <sheetPr>
    <tabColor rgb="FF99FFCC"/>
  </sheetPr>
  <dimension ref="A1:AA55"/>
  <sheetViews>
    <sheetView showGridLines="0" zoomScale="70" zoomScaleNormal="70" workbookViewId="0">
      <selection activeCell="D29" sqref="D29"/>
    </sheetView>
  </sheetViews>
  <sheetFormatPr defaultColWidth="8.88671875" defaultRowHeight="15" x14ac:dyDescent="0.2"/>
  <cols>
    <col min="1" max="1" width="18.5546875" style="1" customWidth="1"/>
    <col min="2" max="2" width="26.109375" style="1" customWidth="1"/>
    <col min="3" max="3" width="19.44140625" style="1" customWidth="1"/>
    <col min="4" max="4" width="15.44140625" style="1" customWidth="1"/>
    <col min="5" max="5" width="17.109375" bestFit="1" customWidth="1"/>
    <col min="6" max="6" width="13.88671875" customWidth="1"/>
    <col min="7" max="8" width="12" customWidth="1"/>
    <col min="9" max="9" width="20.44140625" customWidth="1"/>
    <col min="10" max="10" width="12" customWidth="1"/>
    <col min="11" max="27" width="8.77734375" customWidth="1"/>
    <col min="28" max="16384" width="8.88671875" style="1"/>
  </cols>
  <sheetData>
    <row r="1" spans="1:21" ht="18" x14ac:dyDescent="0.25">
      <c r="A1" s="2" t="str">
        <f ca="1">MID(CELL("filename",A2),FIND("]",CELL("filename",A2))+1,256)</f>
        <v>Vehicle mix and value of time</v>
      </c>
    </row>
    <row r="2" spans="1:21" x14ac:dyDescent="0.2">
      <c r="A2" s="6" t="s">
        <v>0</v>
      </c>
    </row>
    <row r="4" spans="1:21" ht="20.25" x14ac:dyDescent="0.3">
      <c r="B4" s="7" t="s">
        <v>4</v>
      </c>
      <c r="C4" s="7"/>
      <c r="D4" s="7"/>
      <c r="E4" s="7"/>
      <c r="F4" s="7"/>
      <c r="G4" s="7"/>
      <c r="H4" s="7"/>
      <c r="I4" s="7"/>
    </row>
    <row r="5" spans="1:21" x14ac:dyDescent="0.2">
      <c r="E5" s="1"/>
      <c r="F5" s="1"/>
      <c r="G5" s="1"/>
      <c r="H5" s="1"/>
      <c r="I5" s="1"/>
      <c r="T5" s="1"/>
      <c r="U5" s="1"/>
    </row>
    <row r="6" spans="1:21" customFormat="1" ht="15.75" x14ac:dyDescent="0.25">
      <c r="B6" s="8" t="s">
        <v>42</v>
      </c>
      <c r="C6" s="8"/>
      <c r="D6" s="8"/>
      <c r="E6" s="8"/>
      <c r="F6" s="8"/>
      <c r="G6" s="8"/>
      <c r="H6" s="8"/>
      <c r="I6" s="8"/>
    </row>
    <row r="7" spans="1:21" customFormat="1" x14ac:dyDescent="0.2"/>
    <row r="8" spans="1:21" customFormat="1" ht="15.75" x14ac:dyDescent="0.25">
      <c r="B8" s="11"/>
      <c r="C8" s="11" t="s">
        <v>33</v>
      </c>
      <c r="D8" s="11" t="s">
        <v>60</v>
      </c>
      <c r="E8" s="12" t="s">
        <v>258</v>
      </c>
      <c r="F8" s="11" t="s">
        <v>128</v>
      </c>
      <c r="G8" s="11"/>
      <c r="H8" s="11"/>
      <c r="I8" s="11"/>
    </row>
    <row r="9" spans="1:21" customFormat="1" x14ac:dyDescent="0.2">
      <c r="B9" s="3" t="s">
        <v>37</v>
      </c>
      <c r="C9" s="25">
        <v>0.94569999999999999</v>
      </c>
      <c r="D9" s="25">
        <v>0.88009999999999999</v>
      </c>
      <c r="E9" s="96">
        <f t="shared" ref="E9:E14" si="0">IF(Region=$C$8,C9,D9)</f>
        <v>0.88009999999999999</v>
      </c>
      <c r="F9" s="3" t="s">
        <v>174</v>
      </c>
      <c r="G9" s="3"/>
      <c r="H9" s="3"/>
      <c r="I9" s="3"/>
    </row>
    <row r="10" spans="1:21" customFormat="1" x14ac:dyDescent="0.2">
      <c r="B10" s="3" t="s">
        <v>122</v>
      </c>
      <c r="C10" s="25">
        <v>0.01</v>
      </c>
      <c r="D10" s="25">
        <v>1.38E-2</v>
      </c>
      <c r="E10" s="96">
        <f t="shared" si="0"/>
        <v>1.38E-2</v>
      </c>
      <c r="F10" s="3" t="s">
        <v>148</v>
      </c>
      <c r="G10" s="3"/>
      <c r="H10" s="3"/>
      <c r="I10" s="3"/>
    </row>
    <row r="11" spans="1:21" customFormat="1" x14ac:dyDescent="0.2">
      <c r="B11" s="3" t="s">
        <v>123</v>
      </c>
      <c r="C11" s="25">
        <v>2.0400000000000001E-2</v>
      </c>
      <c r="D11" s="25">
        <v>2.8199999999999999E-2</v>
      </c>
      <c r="E11" s="96">
        <f t="shared" si="0"/>
        <v>2.8199999999999999E-2</v>
      </c>
      <c r="F11" s="3" t="s">
        <v>175</v>
      </c>
      <c r="G11" s="3"/>
      <c r="H11" s="3"/>
      <c r="I11" s="3"/>
    </row>
    <row r="12" spans="1:21" customFormat="1" x14ac:dyDescent="0.2">
      <c r="B12" s="3" t="s">
        <v>40</v>
      </c>
      <c r="C12" s="25">
        <v>8.6E-3</v>
      </c>
      <c r="D12" s="25">
        <v>7.7000000000000002E-3</v>
      </c>
      <c r="E12" s="96">
        <f t="shared" si="0"/>
        <v>7.7000000000000002E-3</v>
      </c>
      <c r="F12" s="3" t="s">
        <v>321</v>
      </c>
      <c r="G12" s="3"/>
      <c r="H12" s="3"/>
      <c r="I12" s="3"/>
    </row>
    <row r="13" spans="1:21" customFormat="1" x14ac:dyDescent="0.2">
      <c r="B13" s="3" t="s">
        <v>41</v>
      </c>
      <c r="C13" s="25">
        <v>7.6E-3</v>
      </c>
      <c r="D13" s="25">
        <v>3.0700000000000002E-2</v>
      </c>
      <c r="E13" s="96">
        <f t="shared" si="0"/>
        <v>3.0700000000000002E-2</v>
      </c>
      <c r="F13" s="3"/>
      <c r="G13" s="3"/>
      <c r="H13" s="3"/>
      <c r="I13" s="3"/>
    </row>
    <row r="14" spans="1:21" customFormat="1" x14ac:dyDescent="0.2">
      <c r="A14" s="1"/>
      <c r="B14" s="3" t="s">
        <v>84</v>
      </c>
      <c r="C14" s="25">
        <v>7.7000000000000002E-3</v>
      </c>
      <c r="D14" s="25">
        <v>3.95E-2</v>
      </c>
      <c r="E14" s="96">
        <f t="shared" si="0"/>
        <v>3.95E-2</v>
      </c>
      <c r="F14" s="3"/>
      <c r="G14" s="3"/>
      <c r="H14" s="3"/>
      <c r="I14" s="3"/>
    </row>
    <row r="15" spans="1:21" customFormat="1" x14ac:dyDescent="0.2">
      <c r="A15" s="1"/>
      <c r="B15" s="1"/>
      <c r="C15" s="1"/>
    </row>
    <row r="16" spans="1:21" customFormat="1" ht="15.75" x14ac:dyDescent="0.25">
      <c r="B16" s="8" t="s">
        <v>277</v>
      </c>
      <c r="C16" s="8"/>
      <c r="D16" s="8"/>
      <c r="E16" s="8"/>
      <c r="F16" s="8"/>
      <c r="G16" s="8"/>
      <c r="H16" s="8"/>
      <c r="I16" s="8"/>
    </row>
    <row r="17" spans="1:9" customFormat="1" x14ac:dyDescent="0.2"/>
    <row r="18" spans="1:9" customFormat="1" ht="15.75" x14ac:dyDescent="0.25">
      <c r="B18" s="11" t="s">
        <v>172</v>
      </c>
      <c r="C18" s="11"/>
      <c r="D18" s="11"/>
      <c r="E18" s="11"/>
    </row>
    <row r="19" spans="1:9" customFormat="1" x14ac:dyDescent="0.2">
      <c r="B19" s="77" t="s">
        <v>241</v>
      </c>
      <c r="C19" s="78"/>
      <c r="D19" s="78"/>
      <c r="E19" s="79"/>
    </row>
    <row r="20" spans="1:9" customFormat="1" x14ac:dyDescent="0.2">
      <c r="B20" s="80" t="s">
        <v>242</v>
      </c>
      <c r="C20" s="66"/>
      <c r="D20" s="66"/>
      <c r="E20" s="81"/>
    </row>
    <row r="21" spans="1:9" customFormat="1" x14ac:dyDescent="0.2">
      <c r="B21" s="92" t="s">
        <v>243</v>
      </c>
      <c r="C21" s="66"/>
      <c r="D21" s="66"/>
      <c r="E21" s="81"/>
    </row>
    <row r="22" spans="1:9" customFormat="1" x14ac:dyDescent="0.2">
      <c r="B22" s="92" t="s">
        <v>244</v>
      </c>
      <c r="C22" s="66"/>
      <c r="D22" s="66"/>
      <c r="E22" s="81"/>
    </row>
    <row r="23" spans="1:9" customFormat="1" x14ac:dyDescent="0.2">
      <c r="B23" s="92" t="s">
        <v>245</v>
      </c>
      <c r="C23" s="66"/>
      <c r="D23" s="66"/>
      <c r="E23" s="81"/>
    </row>
    <row r="24" spans="1:9" customFormat="1" x14ac:dyDescent="0.2">
      <c r="B24" s="82" t="s">
        <v>246</v>
      </c>
      <c r="C24" s="83"/>
      <c r="D24" s="83"/>
      <c r="E24" s="46"/>
    </row>
    <row r="25" spans="1:9" customFormat="1" x14ac:dyDescent="0.2">
      <c r="B25" s="66"/>
      <c r="C25" s="66"/>
      <c r="D25" s="66"/>
      <c r="E25" s="66"/>
    </row>
    <row r="26" spans="1:9" customFormat="1" ht="15.75" x14ac:dyDescent="0.25">
      <c r="A26" s="1"/>
      <c r="B26" s="11" t="s">
        <v>254</v>
      </c>
      <c r="C26" s="11" t="s">
        <v>33</v>
      </c>
      <c r="D26" s="11" t="s">
        <v>60</v>
      </c>
      <c r="E26" s="11"/>
      <c r="F26" s="11"/>
      <c r="G26" s="11"/>
      <c r="H26" s="11"/>
      <c r="I26" s="11"/>
    </row>
    <row r="27" spans="1:9" customFormat="1" x14ac:dyDescent="0.2">
      <c r="A27" s="1"/>
      <c r="B27" s="3" t="s">
        <v>37</v>
      </c>
      <c r="C27" s="4">
        <f>1.6*14.99*CPI_2020/CPI_2013</f>
        <v>26.912279069767443</v>
      </c>
      <c r="D27" s="4">
        <f>1.7*14.99*CPI_2020/CPI_2013</f>
        <v>28.594296511627906</v>
      </c>
      <c r="E27" s="3" t="s">
        <v>247</v>
      </c>
      <c r="F27" s="3"/>
      <c r="G27" s="3"/>
      <c r="H27" s="3"/>
      <c r="I27" s="3"/>
    </row>
    <row r="28" spans="1:9" customFormat="1" x14ac:dyDescent="0.2">
      <c r="A28" s="1"/>
      <c r="B28" s="3" t="s">
        <v>122</v>
      </c>
      <c r="C28" s="4">
        <f>(1.2*25.72+4.15)*CPI_2020/CPI_2013</f>
        <v>39.288965116279066</v>
      </c>
      <c r="D28" s="4">
        <f>(1.2*25.72+2.11)*CPI_2020/CPI_2013</f>
        <v>36.999895348837207</v>
      </c>
      <c r="E28" s="3" t="s">
        <v>248</v>
      </c>
      <c r="F28" s="3"/>
      <c r="G28" s="3"/>
      <c r="H28" s="3"/>
      <c r="I28" s="3"/>
    </row>
    <row r="29" spans="1:9" customFormat="1" x14ac:dyDescent="0.2">
      <c r="A29" s="1"/>
      <c r="B29" s="3" t="s">
        <v>123</v>
      </c>
      <c r="C29" s="4">
        <f>(1*26.19+14.2)*CPI_2020/CPI_2013</f>
        <v>45.321337209302328</v>
      </c>
      <c r="D29" s="4">
        <f>(1*26.19+7.22)*CPI_2020/CPI_2013</f>
        <v>37.489127906976748</v>
      </c>
      <c r="E29" s="3" t="s">
        <v>249</v>
      </c>
      <c r="F29" s="3"/>
      <c r="G29" s="3"/>
      <c r="H29" s="3"/>
      <c r="I29" s="3"/>
    </row>
    <row r="30" spans="1:9" customFormat="1" x14ac:dyDescent="0.2">
      <c r="A30" s="1"/>
      <c r="B30" s="3" t="s">
        <v>40</v>
      </c>
      <c r="C30" s="4">
        <f>(1*25.72+20*14.99)*CPI_2020/CPI_2013</f>
        <v>365.26372093023252</v>
      </c>
      <c r="D30" s="4">
        <f>(1*25.72+20*14.99)*CPI_2020/CPI_2013</f>
        <v>365.26372093023252</v>
      </c>
      <c r="E30" s="3" t="s">
        <v>250</v>
      </c>
      <c r="F30" s="3"/>
      <c r="G30" s="3"/>
      <c r="H30" s="3"/>
      <c r="I30" s="3"/>
    </row>
    <row r="31" spans="1:9" customFormat="1" x14ac:dyDescent="0.2">
      <c r="A31" s="1"/>
      <c r="B31" s="3" t="s">
        <v>41</v>
      </c>
      <c r="C31" s="4">
        <f>(1*26.81+42.06)*CPI_2020/CPI_2013</f>
        <v>77.278546511627908</v>
      </c>
      <c r="D31" s="4">
        <f>(1*26.81+21.36)*CPI_2020/CPI_2013</f>
        <v>54.05122093023256</v>
      </c>
      <c r="E31" s="3" t="s">
        <v>251</v>
      </c>
      <c r="F31" s="3"/>
      <c r="G31" s="3"/>
      <c r="H31" s="3"/>
      <c r="I31" s="3"/>
    </row>
    <row r="32" spans="1:9" customFormat="1" x14ac:dyDescent="0.2">
      <c r="A32" s="1"/>
      <c r="B32" s="3" t="s">
        <v>84</v>
      </c>
      <c r="C32" s="4">
        <f>(1*27.2+64.91)*CPI_2020/CPI_2013</f>
        <v>103.35598837209302</v>
      </c>
      <c r="D32" s="4">
        <f>(1*27.2+31.46)*CPI_2020/CPI_2013</f>
        <v>65.821976744186045</v>
      </c>
      <c r="E32" s="3" t="s">
        <v>252</v>
      </c>
      <c r="F32" s="3"/>
      <c r="G32" s="3"/>
      <c r="H32" s="3"/>
      <c r="I32" s="3"/>
    </row>
    <row r="34" spans="1:9" customFormat="1" ht="15.75" x14ac:dyDescent="0.25">
      <c r="A34" s="1"/>
      <c r="B34" s="11" t="s">
        <v>320</v>
      </c>
      <c r="C34" s="11" t="s">
        <v>33</v>
      </c>
      <c r="D34" s="11" t="s">
        <v>60</v>
      </c>
      <c r="E34" s="11"/>
      <c r="F34" s="11"/>
      <c r="G34" s="11"/>
      <c r="H34" s="11"/>
      <c r="I34" s="11"/>
    </row>
    <row r="35" spans="1:9" customFormat="1" x14ac:dyDescent="0.2">
      <c r="A35" s="1"/>
      <c r="B35" s="3" t="s">
        <v>37</v>
      </c>
      <c r="C35" s="102">
        <v>1.6</v>
      </c>
      <c r="D35" s="102">
        <v>1.7</v>
      </c>
      <c r="E35" s="3" t="s">
        <v>278</v>
      </c>
      <c r="F35" s="3"/>
      <c r="G35" s="3"/>
      <c r="H35" s="3"/>
      <c r="I35" s="3"/>
    </row>
    <row r="36" spans="1:9" customFormat="1" x14ac:dyDescent="0.2">
      <c r="A36" s="1"/>
      <c r="B36" s="3" t="s">
        <v>122</v>
      </c>
      <c r="C36" s="102">
        <v>1.2</v>
      </c>
      <c r="D36" s="102">
        <v>1.2</v>
      </c>
      <c r="E36" s="3"/>
      <c r="F36" s="3"/>
      <c r="G36" s="3"/>
      <c r="H36" s="3"/>
      <c r="I36" s="3"/>
    </row>
    <row r="37" spans="1:9" customFormat="1" x14ac:dyDescent="0.2">
      <c r="A37" s="1"/>
      <c r="B37" s="3" t="s">
        <v>123</v>
      </c>
      <c r="C37" s="102">
        <v>1</v>
      </c>
      <c r="D37" s="102">
        <v>1</v>
      </c>
      <c r="E37" s="3"/>
      <c r="F37" s="3"/>
      <c r="G37" s="3"/>
      <c r="H37" s="3"/>
      <c r="I37" s="3"/>
    </row>
    <row r="38" spans="1:9" customFormat="1" x14ac:dyDescent="0.2">
      <c r="A38" s="1"/>
      <c r="B38" s="3" t="s">
        <v>40</v>
      </c>
      <c r="C38" s="102">
        <v>21</v>
      </c>
      <c r="D38" s="102">
        <v>21</v>
      </c>
      <c r="E38" s="3"/>
      <c r="F38" s="3"/>
      <c r="G38" s="3"/>
      <c r="H38" s="3"/>
      <c r="I38" s="3"/>
    </row>
    <row r="39" spans="1:9" customFormat="1" x14ac:dyDescent="0.2">
      <c r="A39" s="1"/>
      <c r="B39" s="3" t="s">
        <v>41</v>
      </c>
      <c r="C39" s="102">
        <v>1</v>
      </c>
      <c r="D39" s="102">
        <v>1</v>
      </c>
      <c r="E39" s="3"/>
      <c r="F39" s="3"/>
      <c r="G39" s="3"/>
      <c r="H39" s="3"/>
      <c r="I39" s="3"/>
    </row>
    <row r="40" spans="1:9" customFormat="1" x14ac:dyDescent="0.2">
      <c r="A40" s="1"/>
      <c r="B40" s="3" t="s">
        <v>84</v>
      </c>
      <c r="C40" s="102">
        <v>1</v>
      </c>
      <c r="D40" s="102">
        <v>1</v>
      </c>
      <c r="E40" s="3"/>
      <c r="F40" s="3"/>
      <c r="G40" s="3"/>
      <c r="H40" s="3"/>
      <c r="I40" s="3"/>
    </row>
    <row r="42" spans="1:9" customFormat="1" ht="15.75" x14ac:dyDescent="0.25">
      <c r="A42" s="1"/>
      <c r="B42" s="8" t="s">
        <v>183</v>
      </c>
      <c r="C42" s="8"/>
      <c r="D42" s="8"/>
      <c r="E42" s="8"/>
      <c r="F42" s="8"/>
      <c r="G42" s="8"/>
      <c r="H42" s="8"/>
      <c r="I42" s="8"/>
    </row>
    <row r="43" spans="1:9" customFormat="1" x14ac:dyDescent="0.2">
      <c r="A43" s="1"/>
    </row>
    <row r="44" spans="1:9" customFormat="1" ht="15.75" x14ac:dyDescent="0.25">
      <c r="A44" s="1"/>
      <c r="B44" s="11" t="s">
        <v>172</v>
      </c>
      <c r="C44" s="11"/>
      <c r="D44" s="11"/>
      <c r="E44" s="11"/>
    </row>
    <row r="45" spans="1:9" customFormat="1" x14ac:dyDescent="0.2">
      <c r="A45" s="1"/>
      <c r="B45" s="77" t="s">
        <v>322</v>
      </c>
      <c r="C45" s="78"/>
      <c r="D45" s="78"/>
      <c r="E45" s="79"/>
    </row>
    <row r="46" spans="1:9" customFormat="1" x14ac:dyDescent="0.2">
      <c r="A46" s="1"/>
      <c r="B46" s="80" t="s">
        <v>253</v>
      </c>
      <c r="C46" s="66"/>
      <c r="D46" s="66"/>
      <c r="E46" s="81"/>
    </row>
    <row r="47" spans="1:9" customFormat="1" x14ac:dyDescent="0.2">
      <c r="A47" s="1"/>
      <c r="B47" s="82" t="s">
        <v>246</v>
      </c>
      <c r="C47" s="83"/>
      <c r="D47" s="83"/>
      <c r="E47" s="46"/>
    </row>
    <row r="49" spans="1:5" customFormat="1" ht="15.75" x14ac:dyDescent="0.25">
      <c r="A49" s="1"/>
      <c r="B49" s="11" t="s">
        <v>255</v>
      </c>
      <c r="C49" s="11" t="s">
        <v>33</v>
      </c>
      <c r="D49" s="11" t="s">
        <v>60</v>
      </c>
      <c r="E49" s="1"/>
    </row>
    <row r="50" spans="1:5" customFormat="1" x14ac:dyDescent="0.2">
      <c r="A50" s="1"/>
      <c r="B50" s="3" t="s">
        <v>37</v>
      </c>
      <c r="C50" s="4">
        <f>0.084*CPI_2020/CPI_Dec2019</f>
        <v>8.3352185089974287E-2</v>
      </c>
      <c r="D50" s="4">
        <f>0.049*CPI_2020/CPI_Dec2019</f>
        <v>4.8622107969151666E-2</v>
      </c>
      <c r="E50" s="1"/>
    </row>
    <row r="51" spans="1:5" customFormat="1" x14ac:dyDescent="0.2">
      <c r="A51" s="1"/>
      <c r="B51" s="3" t="s">
        <v>122</v>
      </c>
      <c r="C51" s="4">
        <f>0.543*CPI_2020/CPI_Dec2019</f>
        <v>0.53881233933161954</v>
      </c>
      <c r="D51" s="4">
        <f>0.255*CPI_2020/CPI_Dec2019</f>
        <v>0.25303341902313625</v>
      </c>
      <c r="E51" s="1"/>
    </row>
    <row r="52" spans="1:5" customFormat="1" x14ac:dyDescent="0.2">
      <c r="A52" s="1"/>
      <c r="B52" s="3" t="s">
        <v>123</v>
      </c>
      <c r="C52" s="4">
        <f>0.543*CPI_2020/CPI_Dec2019</f>
        <v>0.53881233933161954</v>
      </c>
      <c r="D52" s="4">
        <f>0.255*CPI_2020/CPI_Dec2019</f>
        <v>0.25303341902313625</v>
      </c>
      <c r="E52" s="1"/>
    </row>
    <row r="53" spans="1:5" customFormat="1" x14ac:dyDescent="0.2">
      <c r="A53" s="1"/>
      <c r="B53" s="3" t="s">
        <v>40</v>
      </c>
      <c r="C53" s="4">
        <f>0.524*CPI_2020/CPI_Dec2019</f>
        <v>0.51995886889460152</v>
      </c>
      <c r="D53" s="4">
        <f>0.2*CPI_2020/CPI_Dec2019</f>
        <v>0.19845758354755783</v>
      </c>
      <c r="E53" s="1"/>
    </row>
    <row r="54" spans="1:5" customFormat="1" x14ac:dyDescent="0.2">
      <c r="A54" s="1"/>
      <c r="B54" s="3" t="s">
        <v>41</v>
      </c>
      <c r="C54" s="4">
        <f>0.543*CPI_2020/CPI_Dec2019</f>
        <v>0.53881233933161954</v>
      </c>
      <c r="D54" s="4">
        <f>0.255*CPI_2020/CPI_Dec2019</f>
        <v>0.25303341902313625</v>
      </c>
      <c r="E54" s="1"/>
    </row>
    <row r="55" spans="1:5" customFormat="1" x14ac:dyDescent="0.2">
      <c r="A55" s="1"/>
      <c r="B55" s="3" t="s">
        <v>84</v>
      </c>
      <c r="C55" s="4">
        <f>0.543*CPI_2020/CPI_Dec2019</f>
        <v>0.53881233933161954</v>
      </c>
      <c r="D55" s="4">
        <f>0.255*CPI_2020/CPI_Dec2019</f>
        <v>0.25303341902313625</v>
      </c>
      <c r="E55" s="1"/>
    </row>
  </sheetData>
  <hyperlinks>
    <hyperlink ref="B20" r:id="rId1" xr:uid="{8CADC961-5F30-49FC-900D-1DF1B3BB0D86}"/>
    <hyperlink ref="B46" r:id="rId2" xr:uid="{61D199ED-FCA2-4818-96E2-DC9A89C8D42B}"/>
  </hyperlinks>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94ED2-7C4A-4B04-8992-C9CADAAED8CE}">
  <sheetPr>
    <tabColor rgb="FF99FFCC"/>
  </sheetPr>
  <dimension ref="A1:W32"/>
  <sheetViews>
    <sheetView showGridLines="0" zoomScale="70" zoomScaleNormal="70" workbookViewId="0">
      <selection activeCell="A2" sqref="A2"/>
    </sheetView>
  </sheetViews>
  <sheetFormatPr defaultColWidth="8.88671875" defaultRowHeight="15" x14ac:dyDescent="0.2"/>
  <cols>
    <col min="1" max="1" width="18.5546875" style="1" customWidth="1"/>
    <col min="2" max="2" width="22.88671875" customWidth="1"/>
    <col min="3" max="3" width="13.6640625" customWidth="1"/>
    <col min="4" max="5" width="12" customWidth="1"/>
    <col min="6" max="6" width="18.6640625" customWidth="1"/>
    <col min="7" max="7" width="15.44140625" customWidth="1"/>
    <col min="8" max="8" width="15.5546875" bestFit="1" customWidth="1"/>
    <col min="9" max="9" width="10.6640625" customWidth="1"/>
    <col min="10" max="10" width="10.109375" bestFit="1" customWidth="1"/>
    <col min="11" max="23" width="8.6640625" customWidth="1"/>
    <col min="24" max="16384" width="8.88671875" style="1"/>
  </cols>
  <sheetData>
    <row r="1" spans="1:11" ht="18" x14ac:dyDescent="0.25">
      <c r="A1" s="2" t="str">
        <f ca="1">MID(CELL("filename",A2),FIND("]",CELL("filename",A2))+1,256)</f>
        <v>Lists</v>
      </c>
    </row>
    <row r="2" spans="1:11" x14ac:dyDescent="0.2">
      <c r="A2" s="6" t="s">
        <v>0</v>
      </c>
    </row>
    <row r="4" spans="1:11" ht="20.25" x14ac:dyDescent="0.3">
      <c r="B4" s="16" t="s">
        <v>177</v>
      </c>
      <c r="C4" s="16"/>
      <c r="D4" s="16"/>
      <c r="E4" s="16"/>
      <c r="F4" s="16"/>
      <c r="G4" s="16"/>
      <c r="H4" s="16"/>
      <c r="I4" s="16"/>
      <c r="J4" s="16"/>
      <c r="K4" s="16"/>
    </row>
    <row r="6" spans="1:11" ht="15.75" x14ac:dyDescent="0.25">
      <c r="B6" s="17" t="s">
        <v>288</v>
      </c>
      <c r="C6" s="17"/>
      <c r="D6" s="17"/>
      <c r="E6" s="17"/>
      <c r="F6" s="17"/>
      <c r="G6" s="17"/>
      <c r="H6" s="17"/>
      <c r="I6" s="1"/>
      <c r="J6" s="17" t="s">
        <v>83</v>
      </c>
      <c r="K6" s="17"/>
    </row>
    <row r="7" spans="1:11" x14ac:dyDescent="0.2">
      <c r="I7" s="1"/>
    </row>
    <row r="8" spans="1:11" ht="15.75" x14ac:dyDescent="0.25">
      <c r="B8" s="11" t="s">
        <v>63</v>
      </c>
      <c r="C8" s="11" t="s">
        <v>43</v>
      </c>
      <c r="D8" s="11" t="s">
        <v>44</v>
      </c>
      <c r="E8" s="11" t="s">
        <v>35</v>
      </c>
      <c r="F8" s="11" t="s">
        <v>130</v>
      </c>
      <c r="G8" s="11" t="s">
        <v>178</v>
      </c>
      <c r="H8" s="11" t="s">
        <v>287</v>
      </c>
      <c r="I8" s="1"/>
      <c r="J8" s="11" t="s">
        <v>116</v>
      </c>
      <c r="K8" s="11" t="s">
        <v>117</v>
      </c>
    </row>
    <row r="9" spans="1:11" customFormat="1" x14ac:dyDescent="0.2">
      <c r="B9" s="3" t="s">
        <v>59</v>
      </c>
      <c r="C9" s="3" t="s">
        <v>48</v>
      </c>
      <c r="D9" s="3" t="s">
        <v>33</v>
      </c>
      <c r="E9" s="3" t="s">
        <v>65</v>
      </c>
      <c r="F9" s="3" t="s">
        <v>131</v>
      </c>
      <c r="G9" s="3">
        <v>2021</v>
      </c>
      <c r="H9" s="3" t="s">
        <v>289</v>
      </c>
      <c r="J9" s="3">
        <v>0</v>
      </c>
      <c r="K9" s="3">
        <v>20</v>
      </c>
    </row>
    <row r="10" spans="1:11" customFormat="1" x14ac:dyDescent="0.2">
      <c r="B10" s="3" t="s">
        <v>47</v>
      </c>
      <c r="C10" s="3" t="s">
        <v>56</v>
      </c>
      <c r="D10" s="3" t="s">
        <v>60</v>
      </c>
      <c r="E10" s="3" t="s">
        <v>66</v>
      </c>
      <c r="F10" s="3" t="s">
        <v>132</v>
      </c>
      <c r="G10" s="3">
        <f>G9+1</f>
        <v>2022</v>
      </c>
      <c r="H10" s="3" t="s">
        <v>290</v>
      </c>
      <c r="J10" s="3">
        <v>4</v>
      </c>
      <c r="K10" s="3">
        <v>120</v>
      </c>
    </row>
    <row r="11" spans="1:11" customFormat="1" x14ac:dyDescent="0.2">
      <c r="B11" s="3"/>
      <c r="C11" s="3" t="s">
        <v>61</v>
      </c>
      <c r="D11" s="3"/>
      <c r="F11" s="3" t="s">
        <v>60</v>
      </c>
      <c r="G11" s="3">
        <f t="shared" ref="G11:G23" si="0">G10+1</f>
        <v>2023</v>
      </c>
      <c r="H11" s="3" t="s">
        <v>291</v>
      </c>
      <c r="J11" s="3">
        <v>6</v>
      </c>
      <c r="K11" s="3">
        <v>300</v>
      </c>
    </row>
    <row r="12" spans="1:11" customFormat="1" x14ac:dyDescent="0.2">
      <c r="B12" s="3"/>
      <c r="D12" s="3"/>
      <c r="G12" s="3">
        <f t="shared" si="0"/>
        <v>2024</v>
      </c>
      <c r="H12" s="3" t="s">
        <v>292</v>
      </c>
      <c r="J12" s="3">
        <v>8</v>
      </c>
    </row>
    <row r="13" spans="1:11" customFormat="1" x14ac:dyDescent="0.2">
      <c r="G13" s="3">
        <f t="shared" si="0"/>
        <v>2025</v>
      </c>
      <c r="H13" s="3" t="s">
        <v>293</v>
      </c>
      <c r="J13" s="3">
        <v>10</v>
      </c>
    </row>
    <row r="14" spans="1:11" customFormat="1" x14ac:dyDescent="0.2">
      <c r="G14" s="3">
        <f t="shared" si="0"/>
        <v>2026</v>
      </c>
    </row>
    <row r="15" spans="1:11" customFormat="1" x14ac:dyDescent="0.2">
      <c r="G15" s="3">
        <f t="shared" si="0"/>
        <v>2027</v>
      </c>
    </row>
    <row r="16" spans="1:11" customFormat="1" x14ac:dyDescent="0.2">
      <c r="G16" s="3">
        <f t="shared" si="0"/>
        <v>2028</v>
      </c>
    </row>
    <row r="17" spans="2:7" x14ac:dyDescent="0.2">
      <c r="G17" s="3">
        <f t="shared" si="0"/>
        <v>2029</v>
      </c>
    </row>
    <row r="18" spans="2:7" x14ac:dyDescent="0.2">
      <c r="G18" s="3">
        <f t="shared" si="0"/>
        <v>2030</v>
      </c>
    </row>
    <row r="19" spans="2:7" customFormat="1" x14ac:dyDescent="0.2">
      <c r="G19" s="3">
        <f t="shared" si="0"/>
        <v>2031</v>
      </c>
    </row>
    <row r="20" spans="2:7" customFormat="1" x14ac:dyDescent="0.2">
      <c r="G20" s="3">
        <f t="shared" si="0"/>
        <v>2032</v>
      </c>
    </row>
    <row r="21" spans="2:7" customFormat="1" x14ac:dyDescent="0.2">
      <c r="G21" s="3">
        <f t="shared" si="0"/>
        <v>2033</v>
      </c>
    </row>
    <row r="22" spans="2:7" customFormat="1" x14ac:dyDescent="0.2">
      <c r="G22" s="3">
        <f t="shared" si="0"/>
        <v>2034</v>
      </c>
    </row>
    <row r="23" spans="2:7" customFormat="1" x14ac:dyDescent="0.2">
      <c r="G23" s="3">
        <f t="shared" si="0"/>
        <v>2035</v>
      </c>
    </row>
    <row r="24" spans="2:7" customFormat="1" x14ac:dyDescent="0.2"/>
    <row r="25" spans="2:7" customFormat="1" ht="15.75" x14ac:dyDescent="0.25">
      <c r="B25" s="17" t="s">
        <v>67</v>
      </c>
      <c r="C25" s="17"/>
      <c r="D25" s="17"/>
      <c r="E25" s="17"/>
      <c r="F25" s="17"/>
      <c r="G25" s="17"/>
    </row>
    <row r="27" spans="2:7" ht="15.75" x14ac:dyDescent="0.25">
      <c r="B27" s="11" t="s">
        <v>281</v>
      </c>
      <c r="C27" s="11" t="s">
        <v>62</v>
      </c>
      <c r="D27" s="11" t="s">
        <v>51</v>
      </c>
      <c r="E27" s="11" t="s">
        <v>49</v>
      </c>
      <c r="F27" s="11" t="s">
        <v>53</v>
      </c>
      <c r="G27" s="11" t="s">
        <v>55</v>
      </c>
    </row>
    <row r="28" spans="2:7" x14ac:dyDescent="0.2">
      <c r="B28" s="3" t="s">
        <v>58</v>
      </c>
      <c r="C28" s="104">
        <v>1</v>
      </c>
      <c r="D28" s="104">
        <v>2</v>
      </c>
      <c r="E28" s="104">
        <v>3</v>
      </c>
      <c r="F28" s="104">
        <v>4</v>
      </c>
      <c r="G28" s="104">
        <v>5</v>
      </c>
    </row>
    <row r="29" spans="2:7" x14ac:dyDescent="0.2">
      <c r="B29" s="3" t="s">
        <v>54</v>
      </c>
      <c r="C29" s="104">
        <v>2</v>
      </c>
      <c r="D29" s="104">
        <v>4</v>
      </c>
      <c r="E29" s="104">
        <v>6</v>
      </c>
      <c r="F29" s="104">
        <v>8</v>
      </c>
      <c r="G29" s="104">
        <v>10</v>
      </c>
    </row>
    <row r="30" spans="2:7" x14ac:dyDescent="0.2">
      <c r="B30" s="3" t="s">
        <v>52</v>
      </c>
      <c r="C30" s="104">
        <v>3</v>
      </c>
      <c r="D30" s="104">
        <v>6</v>
      </c>
      <c r="E30" s="104">
        <v>9</v>
      </c>
      <c r="F30" s="104">
        <v>12</v>
      </c>
      <c r="G30" s="104">
        <v>15</v>
      </c>
    </row>
    <row r="31" spans="2:7" x14ac:dyDescent="0.2">
      <c r="B31" s="3" t="s">
        <v>50</v>
      </c>
      <c r="C31" s="104">
        <v>4</v>
      </c>
      <c r="D31" s="104">
        <v>8</v>
      </c>
      <c r="E31" s="104">
        <v>12</v>
      </c>
      <c r="F31" s="104">
        <v>16</v>
      </c>
      <c r="G31" s="104">
        <v>20</v>
      </c>
    </row>
    <row r="32" spans="2:7" x14ac:dyDescent="0.2">
      <c r="B32" s="3" t="s">
        <v>57</v>
      </c>
      <c r="C32" s="104">
        <v>5</v>
      </c>
      <c r="D32" s="104">
        <v>10</v>
      </c>
      <c r="E32" s="104">
        <v>15</v>
      </c>
      <c r="F32" s="104">
        <v>20</v>
      </c>
      <c r="G32" s="104">
        <v>25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70407-474F-410E-B1A2-06B6ECF2D562}">
  <sheetPr>
    <tabColor theme="0"/>
  </sheetPr>
  <dimension ref="A1:AA33"/>
  <sheetViews>
    <sheetView showGridLines="0" zoomScale="70" zoomScaleNormal="70" workbookViewId="0">
      <selection activeCell="J42" sqref="J42"/>
    </sheetView>
  </sheetViews>
  <sheetFormatPr defaultColWidth="8.88671875" defaultRowHeight="15" x14ac:dyDescent="0.2"/>
  <cols>
    <col min="1" max="1" width="18.5546875" style="1" customWidth="1"/>
    <col min="2" max="3" width="30.88671875" style="1" customWidth="1"/>
    <col min="4" max="4" width="12" style="1" customWidth="1"/>
    <col min="5" max="10" width="12" customWidth="1"/>
    <col min="11" max="27" width="8.6640625" customWidth="1"/>
    <col min="28" max="16384" width="8.88671875" style="1"/>
  </cols>
  <sheetData>
    <row r="1" spans="1:5" ht="18" x14ac:dyDescent="0.25">
      <c r="A1" s="2" t="str">
        <f ca="1">MID(CELL("filename",A2),FIND("]",CELL("filename",A2))+1,256)</f>
        <v>VOC calculations =&gt;</v>
      </c>
    </row>
    <row r="2" spans="1:5" x14ac:dyDescent="0.2">
      <c r="A2" s="6" t="s">
        <v>0</v>
      </c>
    </row>
    <row r="4" spans="1:5" x14ac:dyDescent="0.2">
      <c r="E4" s="1"/>
    </row>
    <row r="5" spans="1:5" x14ac:dyDescent="0.2">
      <c r="E5" s="1"/>
    </row>
    <row r="6" spans="1:5" x14ac:dyDescent="0.2">
      <c r="E6" s="1"/>
    </row>
    <row r="7" spans="1:5" x14ac:dyDescent="0.2">
      <c r="E7" s="1"/>
    </row>
    <row r="8" spans="1:5" x14ac:dyDescent="0.2">
      <c r="E8" s="1"/>
    </row>
    <row r="9" spans="1:5" x14ac:dyDescent="0.2">
      <c r="E9" s="1"/>
    </row>
    <row r="10" spans="1:5" x14ac:dyDescent="0.2">
      <c r="E10" s="1"/>
    </row>
    <row r="11" spans="1:5" x14ac:dyDescent="0.2">
      <c r="E11" s="1"/>
    </row>
    <row r="12" spans="1:5" customFormat="1" x14ac:dyDescent="0.2">
      <c r="B12" s="1"/>
      <c r="C12" s="1"/>
      <c r="D12" s="1"/>
      <c r="E12" s="1"/>
    </row>
    <row r="13" spans="1:5" customFormat="1" x14ac:dyDescent="0.2">
      <c r="B13" s="1"/>
      <c r="C13" s="1"/>
      <c r="D13" s="1"/>
      <c r="E13" s="1"/>
    </row>
    <row r="14" spans="1:5" customFormat="1" x14ac:dyDescent="0.2">
      <c r="B14" s="1"/>
      <c r="C14" s="1"/>
      <c r="D14" s="1"/>
      <c r="E14" s="1"/>
    </row>
    <row r="15" spans="1:5" customFormat="1" x14ac:dyDescent="0.2">
      <c r="B15" s="1"/>
      <c r="C15" s="1"/>
      <c r="D15" s="1"/>
      <c r="E15" s="1"/>
    </row>
    <row r="16" spans="1:5" customFormat="1" x14ac:dyDescent="0.2">
      <c r="B16" s="1"/>
      <c r="C16" s="1"/>
      <c r="D16" s="1"/>
      <c r="E16" s="1"/>
    </row>
    <row r="17" spans="2:5" customFormat="1" x14ac:dyDescent="0.2">
      <c r="B17" s="1"/>
      <c r="C17" s="1"/>
      <c r="D17" s="1"/>
      <c r="E17" s="1"/>
    </row>
    <row r="18" spans="2:5" customFormat="1" x14ac:dyDescent="0.2">
      <c r="B18" s="1"/>
      <c r="C18" s="1"/>
      <c r="D18" s="1"/>
      <c r="E18" s="1"/>
    </row>
    <row r="19" spans="2:5" customFormat="1" x14ac:dyDescent="0.2">
      <c r="B19" s="1"/>
      <c r="C19" s="1"/>
      <c r="D19" s="1"/>
      <c r="E19" s="1"/>
    </row>
    <row r="20" spans="2:5" x14ac:dyDescent="0.2">
      <c r="E20" s="1"/>
    </row>
    <row r="21" spans="2:5" x14ac:dyDescent="0.2">
      <c r="E21" s="1"/>
    </row>
    <row r="22" spans="2:5" customFormat="1" x14ac:dyDescent="0.2"/>
    <row r="23" spans="2:5" customFormat="1" x14ac:dyDescent="0.2"/>
    <row r="24" spans="2:5" customFormat="1" x14ac:dyDescent="0.2"/>
    <row r="25" spans="2:5" customFormat="1" x14ac:dyDescent="0.2"/>
    <row r="26" spans="2:5" customFormat="1" x14ac:dyDescent="0.2"/>
    <row r="27" spans="2:5" customFormat="1" x14ac:dyDescent="0.2"/>
    <row r="28" spans="2:5" customFormat="1" x14ac:dyDescent="0.2"/>
    <row r="29" spans="2:5" customFormat="1" x14ac:dyDescent="0.2"/>
    <row r="30" spans="2:5" customFormat="1" x14ac:dyDescent="0.2"/>
    <row r="31" spans="2:5" customFormat="1" x14ac:dyDescent="0.2"/>
    <row r="32" spans="2:5" customFormat="1" x14ac:dyDescent="0.2"/>
    <row r="33" customFormat="1" x14ac:dyDescent="0.2"/>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4782504B59CD43BDF97C5C55CB9D52" ma:contentTypeVersion="1" ma:contentTypeDescription="Create a new document." ma:contentTypeScope="" ma:versionID="245ec07bf3999e5ce729410d237f67a0">
  <xsd:schema xmlns:xsd="http://www.w3.org/2001/XMLSchema" xmlns:xs="http://www.w3.org/2001/XMLSchema" xmlns:p="http://schemas.microsoft.com/office/2006/metadata/properties" xmlns:ns2="9d0d1366-599b-4f21-9efe-be9e1bd6db71" targetNamespace="http://schemas.microsoft.com/office/2006/metadata/properties" ma:root="true" ma:fieldsID="8f49b04f30d4890cf5bd18cb47c60aa0" ns2:_="">
    <xsd:import namespace="9d0d1366-599b-4f21-9efe-be9e1bd6db7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0d1366-599b-4f21-9efe-be9e1bd6db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A96E3E-ECB1-4FF3-998C-01F7D3D04921}">
  <ds:schemaRefs>
    <ds:schemaRef ds:uri="http://schemas.microsoft.com/sharepoint/v3/contenttype/forms"/>
  </ds:schemaRefs>
</ds:datastoreItem>
</file>

<file path=customXml/itemProps2.xml><?xml version="1.0" encoding="utf-8"?>
<ds:datastoreItem xmlns:ds="http://schemas.openxmlformats.org/officeDocument/2006/customXml" ds:itemID="{97061CBA-415D-48D3-8C79-21C27D57DF21}">
  <ds:schemaRefs>
    <ds:schemaRef ds:uri="http://www.w3.org/XML/1998/namespace"/>
    <ds:schemaRef ds:uri="http://purl.org/dc/term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9d0d1366-599b-4f21-9efe-be9e1bd6db71"/>
    <ds:schemaRef ds:uri="http://purl.org/dc/elements/1.1/"/>
  </ds:schemaRefs>
</ds:datastoreItem>
</file>

<file path=customXml/itemProps3.xml><?xml version="1.0" encoding="utf-8"?>
<ds:datastoreItem xmlns:ds="http://schemas.openxmlformats.org/officeDocument/2006/customXml" ds:itemID="{4A7D1C10-F03C-4AA2-B67E-22A87A7DB5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0d1366-599b-4f21-9efe-be9e1bd6db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Info</vt:lpstr>
      <vt:lpstr>User interface</vt:lpstr>
      <vt:lpstr>Calculations  =&gt;</vt:lpstr>
      <vt:lpstr>Calculations</vt:lpstr>
      <vt:lpstr>Technical assumptions =&gt;</vt:lpstr>
      <vt:lpstr>High level assumptions</vt:lpstr>
      <vt:lpstr>Vehicle mix and value of time</vt:lpstr>
      <vt:lpstr>Lists</vt:lpstr>
      <vt:lpstr>VOC calculations =&gt;</vt:lpstr>
      <vt:lpstr>VOC Summary</vt:lpstr>
      <vt:lpstr>Urban VOC</vt:lpstr>
      <vt:lpstr>Rural VOC</vt:lpstr>
      <vt:lpstr>Rural VOC coefficients</vt:lpstr>
      <vt:lpstr>Safety Calculations =&gt;</vt:lpstr>
      <vt:lpstr>Safety</vt:lpstr>
      <vt:lpstr>AADT</vt:lpstr>
      <vt:lpstr>CPI_2013</vt:lpstr>
      <vt:lpstr>CPI_2019</vt:lpstr>
      <vt:lpstr>CPI_2020</vt:lpstr>
      <vt:lpstr>CPI_Dec2019</vt:lpstr>
      <vt:lpstr>Detour_Length</vt:lpstr>
      <vt:lpstr>Detour_Speed</vt:lpstr>
      <vt:lpstr>Discount_Rate</vt:lpstr>
      <vt:lpstr>Likelihood</vt:lpstr>
      <vt:lpstr>Originalroute_length</vt:lpstr>
      <vt:lpstr>Originalroute_Speed</vt:lpstr>
      <vt:lpstr>Region</vt:lpstr>
      <vt:lpstr>Traffic_Growth</vt:lpstr>
    </vt:vector>
  </TitlesOfParts>
  <Company>Austroads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Investment prioritisation template: Bridges and other structures</dc:title>
  <dc:creator>Dylan Frangos</dc:creator>
  <cp:lastModifiedBy>Elaena Gardner</cp:lastModifiedBy>
  <dcterms:created xsi:type="dcterms:W3CDTF">2014-04-05T12:28:10Z</dcterms:created>
  <dcterms:modified xsi:type="dcterms:W3CDTF">2021-06-21T05:31:23Z</dcterms:modified>
  <cp:contentStatus>© Austroads 2021 | This work is copyright. Apart from any use as permitted under the Copyright Act 1968, no part may be reproduced by any process without the prior written permission of Austroads. This material is for personal use only, it is not to be used for commercial training purposes.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0x010100064782504B59CD43BDF97C5C55CB9D52</vt:lpwstr>
  </property>
</Properties>
</file>